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Júniu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8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'!$7:$9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mc.pe.átad!$8:$9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G36" i="46" l="1"/>
  <c r="H36" i="46"/>
  <c r="I36" i="46"/>
  <c r="J36" i="46"/>
  <c r="K36" i="46"/>
  <c r="Q54" i="47"/>
  <c r="P54" i="47"/>
  <c r="Q53" i="47"/>
  <c r="P53" i="47"/>
  <c r="Q34" i="47"/>
  <c r="P34" i="47"/>
  <c r="Q33" i="47"/>
  <c r="P33" i="47"/>
  <c r="T29" i="47"/>
  <c r="S29" i="47"/>
  <c r="R29" i="47"/>
  <c r="Q24" i="47"/>
  <c r="P24" i="47"/>
  <c r="S13" i="47"/>
  <c r="S15" i="47"/>
  <c r="S16" i="47"/>
  <c r="R13" i="47"/>
  <c r="T13" i="47" s="1"/>
  <c r="R15" i="47"/>
  <c r="T15" i="47" s="1"/>
  <c r="R16" i="47"/>
  <c r="T16" i="47" s="1"/>
  <c r="R20" i="47"/>
  <c r="G20" i="47"/>
  <c r="H13" i="47"/>
  <c r="I13" i="47"/>
  <c r="J13" i="47"/>
  <c r="K13" i="47"/>
  <c r="G13" i="47"/>
  <c r="K13" i="46"/>
  <c r="J12" i="46"/>
  <c r="J13" i="46"/>
  <c r="I12" i="46"/>
  <c r="I12" i="47" s="1"/>
  <c r="I13" i="46"/>
  <c r="F13" i="45"/>
  <c r="H12" i="47"/>
  <c r="J12" i="47"/>
  <c r="K12" i="47"/>
  <c r="F12" i="45"/>
  <c r="G12" i="47"/>
  <c r="G15" i="47"/>
  <c r="G16" i="47"/>
  <c r="G17" i="47"/>
  <c r="G18" i="47"/>
  <c r="G19" i="47"/>
  <c r="G11" i="47"/>
  <c r="K15" i="47"/>
  <c r="K16" i="47"/>
  <c r="K17" i="47"/>
  <c r="K24" i="47"/>
  <c r="K29" i="47"/>
  <c r="K35" i="47"/>
  <c r="K40" i="47"/>
  <c r="K42" i="47"/>
  <c r="K45" i="47"/>
  <c r="J15" i="47"/>
  <c r="J16" i="47"/>
  <c r="J17" i="47"/>
  <c r="J24" i="47"/>
  <c r="J29" i="47"/>
  <c r="J35" i="47"/>
  <c r="J40" i="47"/>
  <c r="J42" i="47"/>
  <c r="J45" i="47"/>
  <c r="I15" i="47"/>
  <c r="I16" i="47"/>
  <c r="I17" i="47"/>
  <c r="I29" i="47"/>
  <c r="I35" i="47"/>
  <c r="I40" i="47"/>
  <c r="I42" i="47"/>
  <c r="I45" i="47"/>
  <c r="H15" i="47"/>
  <c r="H16" i="47"/>
  <c r="H17" i="47"/>
  <c r="H24" i="47"/>
  <c r="H29" i="47"/>
  <c r="H35" i="47"/>
  <c r="H40" i="47"/>
  <c r="H42" i="47"/>
  <c r="H45" i="47"/>
  <c r="G35" i="47"/>
  <c r="G40" i="47"/>
  <c r="G42" i="47"/>
  <c r="G45" i="47"/>
  <c r="G24" i="47"/>
  <c r="G25" i="47"/>
  <c r="G29" i="47"/>
  <c r="I11" i="47"/>
  <c r="J11" i="47"/>
  <c r="K11" i="47"/>
  <c r="H11" i="47"/>
  <c r="B11" i="46"/>
  <c r="B12" i="46"/>
  <c r="B13" i="46"/>
  <c r="B14" i="46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T47" i="46"/>
  <c r="S47" i="46"/>
  <c r="R47" i="46"/>
  <c r="T46" i="46"/>
  <c r="S46" i="46"/>
  <c r="R46" i="46"/>
  <c r="Q33" i="46"/>
  <c r="P33" i="46"/>
  <c r="S30" i="46"/>
  <c r="R30" i="46"/>
  <c r="T30" i="46" s="1"/>
  <c r="T13" i="46"/>
  <c r="T15" i="46"/>
  <c r="T16" i="46"/>
  <c r="S13" i="46"/>
  <c r="S15" i="46"/>
  <c r="S16" i="46"/>
  <c r="R13" i="46"/>
  <c r="R15" i="46"/>
  <c r="R16" i="46"/>
  <c r="G53" i="46"/>
  <c r="H53" i="46"/>
  <c r="J53" i="46"/>
  <c r="J45" i="46"/>
  <c r="I45" i="46"/>
  <c r="K45" i="46" s="1"/>
  <c r="K53" i="46" s="1"/>
  <c r="K43" i="46"/>
  <c r="J43" i="46"/>
  <c r="I43" i="46"/>
  <c r="K40" i="46"/>
  <c r="J40" i="46"/>
  <c r="I40" i="46"/>
  <c r="H34" i="46"/>
  <c r="H33" i="46"/>
  <c r="G33" i="46"/>
  <c r="H32" i="46"/>
  <c r="G32" i="46"/>
  <c r="G34" i="46" s="1"/>
  <c r="F16" i="46"/>
  <c r="H33" i="47" l="1"/>
  <c r="H32" i="47"/>
  <c r="H34" i="47" s="1"/>
  <c r="G33" i="47"/>
  <c r="G53" i="47"/>
  <c r="H53" i="47"/>
  <c r="H54" i="46"/>
  <c r="G54" i="46"/>
  <c r="I53" i="46"/>
  <c r="J15" i="46"/>
  <c r="J16" i="46"/>
  <c r="J20" i="46"/>
  <c r="I15" i="46"/>
  <c r="I16" i="46"/>
  <c r="I20" i="46"/>
  <c r="H54" i="47" l="1"/>
  <c r="H36" i="47"/>
  <c r="I33" i="46"/>
  <c r="K20" i="46"/>
  <c r="K15" i="46"/>
  <c r="K16" i="46"/>
  <c r="H54" i="45"/>
  <c r="I54" i="45"/>
  <c r="J54" i="45"/>
  <c r="K54" i="45"/>
  <c r="G54" i="45"/>
  <c r="K53" i="45"/>
  <c r="J53" i="45"/>
  <c r="I53" i="45"/>
  <c r="H53" i="45"/>
  <c r="G53" i="45"/>
  <c r="G49" i="45"/>
  <c r="H49" i="45"/>
  <c r="I49" i="45"/>
  <c r="J49" i="45"/>
  <c r="K49" i="45"/>
  <c r="G48" i="45"/>
  <c r="H48" i="45"/>
  <c r="I48" i="45"/>
  <c r="J48" i="45"/>
  <c r="K48" i="45"/>
  <c r="Q54" i="45"/>
  <c r="R54" i="45"/>
  <c r="S54" i="45"/>
  <c r="T54" i="45"/>
  <c r="P54" i="45"/>
  <c r="T53" i="45"/>
  <c r="S53" i="45"/>
  <c r="R53" i="45"/>
  <c r="Q34" i="45"/>
  <c r="R34" i="45"/>
  <c r="S34" i="45"/>
  <c r="T34" i="45"/>
  <c r="P34" i="45"/>
  <c r="T33" i="45"/>
  <c r="S33" i="45"/>
  <c r="R33" i="45"/>
  <c r="T27" i="45"/>
  <c r="S27" i="45"/>
  <c r="R27" i="45"/>
  <c r="T24" i="45"/>
  <c r="S24" i="45"/>
  <c r="R24" i="45"/>
  <c r="Q24" i="45"/>
  <c r="P24" i="45"/>
  <c r="T16" i="45"/>
  <c r="T18" i="45"/>
  <c r="S16" i="45"/>
  <c r="S18" i="45"/>
  <c r="R18" i="45"/>
  <c r="R16" i="45"/>
  <c r="T13" i="45"/>
  <c r="T14" i="45"/>
  <c r="S13" i="45"/>
  <c r="S14" i="45"/>
  <c r="R13" i="45"/>
  <c r="R14" i="45"/>
  <c r="T12" i="45"/>
  <c r="S12" i="45"/>
  <c r="R12" i="45"/>
  <c r="K43" i="45"/>
  <c r="J43" i="45"/>
  <c r="I43" i="45"/>
  <c r="K34" i="45"/>
  <c r="J34" i="45"/>
  <c r="I34" i="45"/>
  <c r="H34" i="45"/>
  <c r="G34" i="45"/>
  <c r="K32" i="45"/>
  <c r="J32" i="45"/>
  <c r="I32" i="45"/>
  <c r="J20" i="45"/>
  <c r="K20" i="45" s="1"/>
  <c r="G32" i="45"/>
  <c r="I20" i="45"/>
  <c r="J14" i="45"/>
  <c r="K14" i="45" s="1"/>
  <c r="I14" i="45"/>
  <c r="I54" i="44"/>
  <c r="F54" i="44"/>
  <c r="G54" i="44"/>
  <c r="F34" i="44"/>
  <c r="G53" i="44"/>
  <c r="I53" i="44"/>
  <c r="F49" i="44"/>
  <c r="G49" i="44"/>
  <c r="H49" i="44"/>
  <c r="I49" i="44"/>
  <c r="J49" i="44"/>
  <c r="G48" i="44"/>
  <c r="I48" i="44"/>
  <c r="P54" i="44"/>
  <c r="Q54" i="44"/>
  <c r="R54" i="44"/>
  <c r="S54" i="44"/>
  <c r="O54" i="44"/>
  <c r="S53" i="44"/>
  <c r="R53" i="44"/>
  <c r="Q53" i="44"/>
  <c r="P34" i="44"/>
  <c r="Q34" i="44"/>
  <c r="R34" i="44"/>
  <c r="S34" i="44"/>
  <c r="O34" i="44"/>
  <c r="S33" i="44"/>
  <c r="R33" i="44"/>
  <c r="Q33" i="44"/>
  <c r="S27" i="44"/>
  <c r="R27" i="44"/>
  <c r="Q27" i="44"/>
  <c r="S24" i="44"/>
  <c r="R24" i="44"/>
  <c r="Q24" i="44"/>
  <c r="P24" i="44"/>
  <c r="O24" i="44"/>
  <c r="S13" i="44"/>
  <c r="R13" i="44"/>
  <c r="R14" i="44"/>
  <c r="Q13" i="44"/>
  <c r="Q14" i="44"/>
  <c r="S14" i="44" s="1"/>
  <c r="Q15" i="44"/>
  <c r="S12" i="44"/>
  <c r="R12" i="44"/>
  <c r="Q12" i="44"/>
  <c r="J43" i="44"/>
  <c r="I43" i="44"/>
  <c r="H43" i="44"/>
  <c r="G34" i="44"/>
  <c r="I34" i="44"/>
  <c r="J32" i="44"/>
  <c r="I32" i="44"/>
  <c r="H32" i="44"/>
  <c r="H14" i="44"/>
  <c r="J14" i="44" s="1"/>
  <c r="G32" i="44"/>
  <c r="H20" i="44"/>
  <c r="J20" i="44" s="1"/>
  <c r="I20" i="44"/>
  <c r="I14" i="44"/>
  <c r="T53" i="51"/>
  <c r="S53" i="51"/>
  <c r="R53" i="51"/>
  <c r="H54" i="51"/>
  <c r="G54" i="51"/>
  <c r="H53" i="51"/>
  <c r="G53" i="51"/>
  <c r="G49" i="51"/>
  <c r="H49" i="51"/>
  <c r="G48" i="51"/>
  <c r="H48" i="51"/>
  <c r="I48" i="51"/>
  <c r="J48" i="51"/>
  <c r="K48" i="51"/>
  <c r="Q54" i="51"/>
  <c r="P54" i="51"/>
  <c r="Q34" i="51"/>
  <c r="P34" i="51"/>
  <c r="T24" i="51"/>
  <c r="S24" i="51"/>
  <c r="R24" i="51"/>
  <c r="Q24" i="51"/>
  <c r="P24" i="51"/>
  <c r="K34" i="51"/>
  <c r="K32" i="51"/>
  <c r="J34" i="51"/>
  <c r="I34" i="51"/>
  <c r="J32" i="51"/>
  <c r="I32" i="51"/>
  <c r="T13" i="51"/>
  <c r="T14" i="51"/>
  <c r="T12" i="51"/>
  <c r="S13" i="51"/>
  <c r="S14" i="51"/>
  <c r="R13" i="51"/>
  <c r="R14" i="51"/>
  <c r="S12" i="51"/>
  <c r="R12" i="51"/>
  <c r="J43" i="51"/>
  <c r="K43" i="51"/>
  <c r="I43" i="51"/>
  <c r="H54" i="64"/>
  <c r="H53" i="64"/>
  <c r="G49" i="64"/>
  <c r="H49" i="64"/>
  <c r="K43" i="64"/>
  <c r="K48" i="64" s="1"/>
  <c r="J43" i="64"/>
  <c r="I43" i="64"/>
  <c r="I48" i="64" s="1"/>
  <c r="H48" i="64"/>
  <c r="J48" i="64"/>
  <c r="Q54" i="64"/>
  <c r="P54" i="64"/>
  <c r="Q34" i="64"/>
  <c r="P34" i="64"/>
  <c r="Q33" i="64"/>
  <c r="S24" i="64"/>
  <c r="R24" i="64"/>
  <c r="T24" i="64"/>
  <c r="Q24" i="64"/>
  <c r="P24" i="64"/>
  <c r="T13" i="64"/>
  <c r="S13" i="64"/>
  <c r="S14" i="64"/>
  <c r="R13" i="64"/>
  <c r="R14" i="64"/>
  <c r="T14" i="64" s="1"/>
  <c r="T12" i="64"/>
  <c r="S12" i="64"/>
  <c r="R12" i="64"/>
  <c r="H34" i="64"/>
  <c r="I34" i="64"/>
  <c r="J34" i="64"/>
  <c r="K34" i="64"/>
  <c r="I32" i="64"/>
  <c r="J32" i="64"/>
  <c r="K32" i="64"/>
  <c r="H32" i="64"/>
  <c r="G32" i="64"/>
  <c r="K20" i="64"/>
  <c r="J20" i="64"/>
  <c r="I20" i="64"/>
  <c r="G34" i="64" l="1"/>
  <c r="H34" i="44"/>
  <c r="J34" i="44"/>
  <c r="H54" i="42"/>
  <c r="H53" i="42"/>
  <c r="G49" i="42"/>
  <c r="H49" i="42"/>
  <c r="G48" i="42"/>
  <c r="G53" i="42" s="1"/>
  <c r="H48" i="42"/>
  <c r="Q54" i="42"/>
  <c r="P54" i="42"/>
  <c r="T53" i="42"/>
  <c r="S53" i="42"/>
  <c r="R53" i="42"/>
  <c r="Q34" i="42"/>
  <c r="P34" i="42"/>
  <c r="Q33" i="42"/>
  <c r="P33" i="42"/>
  <c r="T24" i="42"/>
  <c r="R24" i="42"/>
  <c r="S24" i="42"/>
  <c r="Q24" i="42"/>
  <c r="P24" i="42"/>
  <c r="T13" i="42"/>
  <c r="T12" i="42"/>
  <c r="S13" i="42"/>
  <c r="S14" i="42"/>
  <c r="R13" i="42"/>
  <c r="R14" i="42"/>
  <c r="S12" i="42"/>
  <c r="R12" i="42"/>
  <c r="J43" i="42"/>
  <c r="I43" i="42"/>
  <c r="K43" i="42" s="1"/>
  <c r="H34" i="42"/>
  <c r="H33" i="42"/>
  <c r="G33" i="42"/>
  <c r="H32" i="42"/>
  <c r="G32" i="42"/>
  <c r="G34" i="42" s="1"/>
  <c r="K16" i="42"/>
  <c r="K18" i="42"/>
  <c r="K23" i="42"/>
  <c r="K24" i="42"/>
  <c r="K26" i="42"/>
  <c r="K27" i="42"/>
  <c r="K29" i="42"/>
  <c r="K30" i="42"/>
  <c r="J16" i="42"/>
  <c r="J18" i="42"/>
  <c r="J20" i="42"/>
  <c r="K20" i="42" s="1"/>
  <c r="J23" i="42"/>
  <c r="J24" i="42"/>
  <c r="J25" i="42"/>
  <c r="K25" i="42" s="1"/>
  <c r="J26" i="42"/>
  <c r="J27" i="42"/>
  <c r="J29" i="42"/>
  <c r="J30" i="42"/>
  <c r="J33" i="42"/>
  <c r="I16" i="42"/>
  <c r="I18" i="42"/>
  <c r="I20" i="42"/>
  <c r="I23" i="42"/>
  <c r="I24" i="42"/>
  <c r="I25" i="42"/>
  <c r="I26" i="42"/>
  <c r="I27" i="42"/>
  <c r="I29" i="42"/>
  <c r="I30" i="42"/>
  <c r="I33" i="42"/>
  <c r="G54" i="42" l="1"/>
  <c r="G32" i="47"/>
  <c r="G34" i="47" s="1"/>
  <c r="G48" i="64"/>
  <c r="H48" i="44"/>
  <c r="J48" i="44"/>
  <c r="T14" i="42"/>
  <c r="K33" i="42"/>
  <c r="AE106" i="68"/>
  <c r="AC106" i="68"/>
  <c r="AD106" i="68"/>
  <c r="AB106" i="68"/>
  <c r="Y106" i="68"/>
  <c r="Z106" i="68"/>
  <c r="X106" i="68"/>
  <c r="U106" i="68"/>
  <c r="K106" i="68"/>
  <c r="L106" i="68"/>
  <c r="I106" i="68"/>
  <c r="H106" i="68"/>
  <c r="G106" i="68"/>
  <c r="F106" i="68"/>
  <c r="E106" i="68"/>
  <c r="D106" i="68"/>
  <c r="AE10" i="68"/>
  <c r="AF10" i="68" s="1"/>
  <c r="AD10" i="68"/>
  <c r="AB10" i="68"/>
  <c r="AA10" i="68"/>
  <c r="W10" i="68"/>
  <c r="T10" i="68"/>
  <c r="E10" i="68"/>
  <c r="I10" i="68"/>
  <c r="G54" i="47" l="1"/>
  <c r="G36" i="47"/>
  <c r="G53" i="64"/>
  <c r="H53" i="44"/>
  <c r="J53" i="44"/>
  <c r="E13" i="47"/>
  <c r="D13" i="47"/>
  <c r="C37" i="5"/>
  <c r="J66" i="15"/>
  <c r="AH66" i="15"/>
  <c r="AI66" i="15"/>
  <c r="D66" i="15"/>
  <c r="AL60" i="15"/>
  <c r="AL61" i="15"/>
  <c r="AL62" i="15"/>
  <c r="G54" i="64" l="1"/>
  <c r="J54" i="44"/>
  <c r="H54" i="44"/>
  <c r="G20" i="63"/>
  <c r="D34" i="10"/>
  <c r="E34" i="10"/>
  <c r="E33" i="10"/>
  <c r="C34" i="10"/>
  <c r="C20" i="10"/>
  <c r="E18" i="10"/>
  <c r="G143" i="8"/>
  <c r="J143" i="8"/>
  <c r="M143" i="8"/>
  <c r="D143" i="8"/>
  <c r="P123" i="8"/>
  <c r="J123" i="8"/>
  <c r="P93" i="8"/>
  <c r="J93" i="8"/>
  <c r="G64" i="8"/>
  <c r="J61" i="8"/>
  <c r="P61" i="8" s="1"/>
  <c r="D64" i="8"/>
  <c r="G51" i="8"/>
  <c r="P45" i="8"/>
  <c r="J45" i="8"/>
  <c r="D51" i="8"/>
  <c r="J39" i="8"/>
  <c r="P39" i="8" s="1"/>
  <c r="E63" i="7" l="1"/>
  <c r="F55" i="7"/>
  <c r="F54" i="7"/>
  <c r="F53" i="7"/>
  <c r="F38" i="7"/>
  <c r="F24" i="7"/>
  <c r="E24" i="7"/>
  <c r="F21" i="7"/>
  <c r="E37" i="6"/>
  <c r="F37" i="6"/>
  <c r="D37" i="6"/>
  <c r="E31" i="6"/>
  <c r="F31" i="6"/>
  <c r="D31" i="6"/>
  <c r="E25" i="6"/>
  <c r="F25" i="6"/>
  <c r="D25" i="6"/>
  <c r="G37" i="6"/>
  <c r="H37" i="6"/>
  <c r="I37" i="6"/>
  <c r="D73" i="5"/>
  <c r="C73" i="5"/>
  <c r="D70" i="5"/>
  <c r="C70" i="5"/>
  <c r="D67" i="5"/>
  <c r="E66" i="5"/>
  <c r="E55" i="5"/>
  <c r="E50" i="5"/>
  <c r="E52" i="5"/>
  <c r="D52" i="5"/>
  <c r="D51" i="5"/>
  <c r="E51" i="5"/>
  <c r="C51" i="5"/>
  <c r="C52" i="5"/>
  <c r="D11" i="5"/>
  <c r="C11" i="5"/>
  <c r="C45" i="5"/>
  <c r="D45" i="5"/>
  <c r="E43" i="5"/>
  <c r="E41" i="5"/>
  <c r="E42" i="5"/>
  <c r="E40" i="5"/>
  <c r="E45" i="5" s="1"/>
  <c r="D21" i="5"/>
  <c r="C21" i="5"/>
  <c r="E28" i="5"/>
  <c r="H75" i="66" l="1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AB92" i="68" l="1"/>
  <c r="T92" i="68"/>
  <c r="Q92" i="68"/>
  <c r="W92" i="68"/>
  <c r="AF92" i="68" s="1"/>
  <c r="T93" i="68" l="1"/>
  <c r="P93" i="68"/>
  <c r="D43" i="47" l="1"/>
  <c r="I43" i="47" s="1"/>
  <c r="F52" i="7"/>
  <c r="AL40" i="15"/>
  <c r="AL39" i="15"/>
  <c r="M43" i="8"/>
  <c r="J43" i="8"/>
  <c r="M26" i="8"/>
  <c r="J26" i="8"/>
  <c r="E17" i="10"/>
  <c r="I53" i="47" l="1"/>
  <c r="AL46" i="15"/>
  <c r="N13" i="64" l="1"/>
  <c r="N12" i="64"/>
  <c r="E20" i="64"/>
  <c r="D20" i="64"/>
  <c r="N46" i="46" l="1"/>
  <c r="M46" i="46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M109" i="8"/>
  <c r="G109" i="8"/>
  <c r="D109" i="8"/>
  <c r="P38" i="15"/>
  <c r="M44" i="8"/>
  <c r="J44" i="8"/>
  <c r="D44" i="8"/>
  <c r="M59" i="15"/>
  <c r="G59" i="15"/>
  <c r="F51" i="7" l="1"/>
  <c r="F50" i="7" l="1"/>
  <c r="E42" i="24" l="1"/>
  <c r="F42" i="24"/>
  <c r="G42" i="24"/>
  <c r="H42" i="24"/>
  <c r="I42" i="24"/>
  <c r="J42" i="24"/>
  <c r="K42" i="24"/>
  <c r="L42" i="24"/>
  <c r="M42" i="24"/>
  <c r="N42" i="24"/>
  <c r="D42" i="24"/>
  <c r="X30" i="68" l="1"/>
  <c r="T99" i="68"/>
  <c r="W99" i="68" s="1"/>
  <c r="T39" i="68"/>
  <c r="P40" i="68"/>
  <c r="AB39" i="68"/>
  <c r="Q30" i="68"/>
  <c r="Q23" i="68"/>
  <c r="Q22" i="68"/>
  <c r="Q21" i="68"/>
  <c r="Q20" i="68"/>
  <c r="Q19" i="68"/>
  <c r="Q18" i="68"/>
  <c r="Q17" i="68"/>
  <c r="Q16" i="68"/>
  <c r="E12" i="68"/>
  <c r="Q24" i="68" l="1"/>
  <c r="P76" i="8"/>
  <c r="J76" i="8"/>
  <c r="C71" i="5"/>
  <c r="F43" i="46"/>
  <c r="D24" i="7" l="1"/>
  <c r="F20" i="7"/>
  <c r="J92" i="8" l="1"/>
  <c r="P92" i="8" s="1"/>
  <c r="J60" i="8" l="1"/>
  <c r="P60" i="8" s="1"/>
  <c r="P64" i="8" s="1"/>
  <c r="J24" i="8" l="1"/>
  <c r="E25" i="47" l="1"/>
  <c r="J25" i="47" s="1"/>
  <c r="D25" i="47"/>
  <c r="I25" i="47" s="1"/>
  <c r="D33" i="42"/>
  <c r="K25" i="47" l="1"/>
  <c r="K95" i="70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G48" i="15" l="1"/>
  <c r="M48" i="15" s="1"/>
  <c r="S33" i="15"/>
  <c r="G111" i="8"/>
  <c r="N13" i="44"/>
  <c r="J128" i="8" l="1"/>
  <c r="M33" i="15" l="1"/>
  <c r="G33" i="15"/>
  <c r="O13" i="64" l="1"/>
  <c r="J130" i="8"/>
  <c r="M139" i="8"/>
  <c r="J137" i="8"/>
  <c r="J139" i="8" s="1"/>
  <c r="G139" i="8"/>
  <c r="D139" i="8"/>
  <c r="AE104" i="68" l="1"/>
  <c r="V104" i="68"/>
  <c r="O104" i="68"/>
  <c r="O106" i="68" s="1"/>
  <c r="N104" i="68"/>
  <c r="N106" i="68" s="1"/>
  <c r="M104" i="68"/>
  <c r="J104" i="68"/>
  <c r="J106" i="68" s="1"/>
  <c r="E104" i="68"/>
  <c r="C104" i="68"/>
  <c r="C106" i="68" s="1"/>
  <c r="AA101" i="68"/>
  <c r="X101" i="68"/>
  <c r="S101" i="68"/>
  <c r="P101" i="68"/>
  <c r="Q101" i="68" s="1"/>
  <c r="AF100" i="68"/>
  <c r="AB100" i="68"/>
  <c r="Q100" i="68"/>
  <c r="AF99" i="68"/>
  <c r="AB99" i="68"/>
  <c r="Q99" i="68"/>
  <c r="T98" i="68"/>
  <c r="AB98" i="68" s="1"/>
  <c r="Q98" i="68"/>
  <c r="W98" i="68" s="1"/>
  <c r="AF98" i="68" s="1"/>
  <c r="AA93" i="68"/>
  <c r="X93" i="68"/>
  <c r="S93" i="68"/>
  <c r="R93" i="68"/>
  <c r="Q93" i="68"/>
  <c r="W93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Q41" i="68"/>
  <c r="S40" i="68"/>
  <c r="AA40" i="68" s="1"/>
  <c r="R40" i="68"/>
  <c r="Q39" i="68"/>
  <c r="AF39" i="68" s="1"/>
  <c r="AB38" i="68"/>
  <c r="Q38" i="68"/>
  <c r="W38" i="68" s="1"/>
  <c r="AB37" i="68"/>
  <c r="Q37" i="68"/>
  <c r="W37" i="68" s="1"/>
  <c r="AB36" i="68"/>
  <c r="Q36" i="68"/>
  <c r="W36" i="68" s="1"/>
  <c r="AB35" i="68"/>
  <c r="Q35" i="68"/>
  <c r="W35" i="68" s="1"/>
  <c r="AB34" i="68"/>
  <c r="T34" i="68"/>
  <c r="Q34" i="68"/>
  <c r="AF34" i="68" s="1"/>
  <c r="AB33" i="68"/>
  <c r="Q33" i="68"/>
  <c r="AF33" i="68" s="1"/>
  <c r="AB32" i="68"/>
  <c r="T32" i="68"/>
  <c r="Q32" i="68"/>
  <c r="AF32" i="68" s="1"/>
  <c r="AB31" i="68"/>
  <c r="T31" i="68"/>
  <c r="Q31" i="68"/>
  <c r="W31" i="68" s="1"/>
  <c r="AB30" i="68"/>
  <c r="AA30" i="68"/>
  <c r="AF30" i="68"/>
  <c r="AB29" i="68"/>
  <c r="T29" i="68"/>
  <c r="Q29" i="68"/>
  <c r="AF29" i="68" s="1"/>
  <c r="AB28" i="68"/>
  <c r="T28" i="68"/>
  <c r="Q28" i="68"/>
  <c r="P24" i="68"/>
  <c r="T24" i="68" s="1"/>
  <c r="AB24" i="68" s="1"/>
  <c r="T23" i="68"/>
  <c r="AB23" i="68" s="1"/>
  <c r="W23" i="68"/>
  <c r="AF23" i="68" s="1"/>
  <c r="T22" i="68"/>
  <c r="W22" i="68"/>
  <c r="AF22" i="68" s="1"/>
  <c r="T21" i="68"/>
  <c r="AB21" i="68" s="1"/>
  <c r="W21" i="68"/>
  <c r="AF21" i="68" s="1"/>
  <c r="T20" i="68"/>
  <c r="AB20" i="68" s="1"/>
  <c r="W20" i="68"/>
  <c r="AF20" i="68" s="1"/>
  <c r="T19" i="68"/>
  <c r="AB19" i="68" s="1"/>
  <c r="W19" i="68"/>
  <c r="AF19" i="68" s="1"/>
  <c r="T18" i="68"/>
  <c r="AB18" i="68" s="1"/>
  <c r="W18" i="68"/>
  <c r="AF18" i="68" s="1"/>
  <c r="T17" i="68"/>
  <c r="AB17" i="68" s="1"/>
  <c r="W17" i="68"/>
  <c r="AF17" i="68" s="1"/>
  <c r="T16" i="68"/>
  <c r="AB16" i="68" s="1"/>
  <c r="W16" i="68"/>
  <c r="T12" i="68"/>
  <c r="AB12" i="68" s="1"/>
  <c r="M12" i="68"/>
  <c r="AF93" i="68" l="1"/>
  <c r="W28" i="68"/>
  <c r="Q40" i="68"/>
  <c r="T40" i="68"/>
  <c r="AA104" i="68"/>
  <c r="AA106" i="68" s="1"/>
  <c r="AB93" i="68"/>
  <c r="R104" i="68"/>
  <c r="R106" i="68" s="1"/>
  <c r="AF37" i="68"/>
  <c r="AF31" i="68"/>
  <c r="W32" i="68"/>
  <c r="AF38" i="68"/>
  <c r="S104" i="68"/>
  <c r="S106" i="68" s="1"/>
  <c r="M106" i="68"/>
  <c r="W30" i="68"/>
  <c r="AB40" i="68"/>
  <c r="W29" i="68"/>
  <c r="AF36" i="68"/>
  <c r="V106" i="68"/>
  <c r="AE12" i="68"/>
  <c r="P104" i="68"/>
  <c r="P106" i="68" s="1"/>
  <c r="T106" i="68" s="1"/>
  <c r="AF35" i="68"/>
  <c r="W39" i="68"/>
  <c r="X40" i="68"/>
  <c r="X104" i="68" s="1"/>
  <c r="T101" i="68"/>
  <c r="AB101" i="68" s="1"/>
  <c r="AF16" i="68"/>
  <c r="AF24" i="68" s="1"/>
  <c r="W24" i="68"/>
  <c r="AF28" i="68"/>
  <c r="W33" i="68"/>
  <c r="R41" i="68"/>
  <c r="W101" i="68"/>
  <c r="AF101" i="68" s="1"/>
  <c r="W12" i="68"/>
  <c r="W34" i="68"/>
  <c r="AF12" i="68" l="1"/>
  <c r="T104" i="68"/>
  <c r="AB104" i="68"/>
  <c r="AF40" i="68"/>
  <c r="AF104" i="68" s="1"/>
  <c r="W40" i="68"/>
  <c r="W104" i="68" s="1"/>
  <c r="W106" i="68" s="1"/>
  <c r="Q104" i="68"/>
  <c r="Q106" i="68" s="1"/>
  <c r="AF106" i="68" l="1"/>
  <c r="C31" i="48"/>
  <c r="E11" i="47"/>
  <c r="D26" i="10"/>
  <c r="E11" i="46"/>
  <c r="J11" i="46" l="1"/>
  <c r="F62" i="7"/>
  <c r="P56" i="15"/>
  <c r="S55" i="15"/>
  <c r="M55" i="15"/>
  <c r="M66" i="15" s="1"/>
  <c r="G55" i="15"/>
  <c r="S52" i="15"/>
  <c r="P47" i="15"/>
  <c r="G42" i="15"/>
  <c r="P34" i="15"/>
  <c r="P10" i="15"/>
  <c r="C20" i="44"/>
  <c r="G119" i="8"/>
  <c r="M119" i="8"/>
  <c r="P119" i="8"/>
  <c r="D119" i="8"/>
  <c r="M114" i="8"/>
  <c r="G114" i="8"/>
  <c r="D114" i="8"/>
  <c r="J111" i="8"/>
  <c r="J59" i="8"/>
  <c r="J58" i="8"/>
  <c r="G56" i="8"/>
  <c r="J42" i="8"/>
  <c r="J33" i="8"/>
  <c r="M33" i="8" s="1"/>
  <c r="J32" i="8"/>
  <c r="M32" i="8" s="1"/>
  <c r="G28" i="8"/>
  <c r="D28" i="8"/>
  <c r="G25" i="8"/>
  <c r="D25" i="8"/>
  <c r="P133" i="8"/>
  <c r="G133" i="8"/>
  <c r="D133" i="8"/>
  <c r="N14" i="42"/>
  <c r="C35" i="5"/>
  <c r="D35" i="5"/>
  <c r="F11" i="14"/>
  <c r="G66" i="15" l="1"/>
  <c r="P66" i="15"/>
  <c r="S66" i="15"/>
  <c r="E35" i="5"/>
  <c r="J41" i="8"/>
  <c r="M41" i="8" s="1"/>
  <c r="E31" i="48" l="1"/>
  <c r="C34" i="48"/>
  <c r="E43" i="47"/>
  <c r="C35" i="48"/>
  <c r="D35" i="48"/>
  <c r="E40" i="47"/>
  <c r="D32" i="49" s="1"/>
  <c r="D40" i="47"/>
  <c r="C32" i="49" s="1"/>
  <c r="E33" i="42"/>
  <c r="F43" i="42"/>
  <c r="F25" i="42"/>
  <c r="F33" i="42" s="1"/>
  <c r="O20" i="64"/>
  <c r="F44" i="64"/>
  <c r="E35" i="48" s="1"/>
  <c r="F43" i="64"/>
  <c r="D34" i="48" l="1"/>
  <c r="J43" i="47"/>
  <c r="D30" i="48"/>
  <c r="C30" i="48"/>
  <c r="F40" i="46"/>
  <c r="F40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AL15" i="15"/>
  <c r="AL16" i="15"/>
  <c r="AL17" i="15"/>
  <c r="AL18" i="15"/>
  <c r="AL19" i="15"/>
  <c r="AL52" i="15"/>
  <c r="AL53" i="15"/>
  <c r="AL54" i="15"/>
  <c r="AL55" i="15"/>
  <c r="AL56" i="15"/>
  <c r="AL57" i="15"/>
  <c r="AL58" i="15"/>
  <c r="AL59" i="15"/>
  <c r="AL28" i="15"/>
  <c r="G96" i="8"/>
  <c r="D96" i="8"/>
  <c r="D105" i="8" s="1"/>
  <c r="J89" i="8"/>
  <c r="M89" i="8" s="1"/>
  <c r="G84" i="8"/>
  <c r="D84" i="8"/>
  <c r="M84" i="8"/>
  <c r="J84" i="8"/>
  <c r="J53" i="47" l="1"/>
  <c r="K43" i="47"/>
  <c r="K53" i="47" s="1"/>
  <c r="E30" i="48"/>
  <c r="E32" i="49"/>
  <c r="P84" i="8"/>
  <c r="J57" i="8" l="1"/>
  <c r="J64" i="8" s="1"/>
  <c r="J40" i="8"/>
  <c r="M40" i="8" s="1"/>
  <c r="J38" i="8"/>
  <c r="P38" i="8" s="1"/>
  <c r="J25" i="8"/>
  <c r="D21" i="8"/>
  <c r="G21" i="8"/>
  <c r="D15" i="8"/>
  <c r="G15" i="8"/>
  <c r="E23" i="63"/>
  <c r="H23" i="63"/>
  <c r="I23" i="63"/>
  <c r="J23" i="63"/>
  <c r="F23" i="63"/>
  <c r="G16" i="63"/>
  <c r="G17" i="63"/>
  <c r="G18" i="63"/>
  <c r="G19" i="63"/>
  <c r="G15" i="63"/>
  <c r="M57" i="8" l="1"/>
  <c r="M64" i="8" s="1"/>
  <c r="M25" i="8"/>
  <c r="E25" i="10"/>
  <c r="E16" i="10"/>
  <c r="F29" i="7"/>
  <c r="F49" i="7"/>
  <c r="F48" i="7"/>
  <c r="F32" i="7"/>
  <c r="F47" i="7"/>
  <c r="F46" i="7"/>
  <c r="F45" i="7"/>
  <c r="D31" i="5" l="1"/>
  <c r="C31" i="5"/>
  <c r="D37" i="5" l="1"/>
  <c r="D47" i="5"/>
  <c r="F29" i="47"/>
  <c r="E19" i="48" s="1"/>
  <c r="F29" i="46"/>
  <c r="E29" i="47"/>
  <c r="D19" i="48" s="1"/>
  <c r="E29" i="46"/>
  <c r="J29" i="46" s="1"/>
  <c r="D71" i="5"/>
  <c r="D29" i="47"/>
  <c r="C19" i="48" s="1"/>
  <c r="D29" i="46"/>
  <c r="E71" i="5"/>
  <c r="D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B44" i="42"/>
  <c r="B45" i="42" s="1"/>
  <c r="B46" i="42" s="1"/>
  <c r="B47" i="42" s="1"/>
  <c r="B48" i="42" s="1"/>
  <c r="B49" i="42" s="1"/>
  <c r="B50" i="42" s="1"/>
  <c r="B51" i="42" s="1"/>
  <c r="B52" i="42" s="1"/>
  <c r="B53" i="42" s="1"/>
  <c r="B54" i="42" s="1"/>
  <c r="B44" i="5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K29" i="46" l="1"/>
  <c r="F15" i="14"/>
  <c r="F19" i="7" l="1"/>
  <c r="J91" i="8" l="1"/>
  <c r="P91" i="8" s="1"/>
  <c r="E24" i="5" l="1"/>
  <c r="J37" i="8"/>
  <c r="G125" i="8"/>
  <c r="D125" i="8"/>
  <c r="M125" i="8"/>
  <c r="M27" i="64" s="1"/>
  <c r="R27" i="64" s="1"/>
  <c r="R33" i="64" l="1"/>
  <c r="M37" i="8"/>
  <c r="P15" i="8"/>
  <c r="AL51" i="15"/>
  <c r="R34" i="64" l="1"/>
  <c r="R54" i="64" s="1"/>
  <c r="I49" i="64"/>
  <c r="I53" i="64" s="1"/>
  <c r="I54" i="64" s="1"/>
  <c r="J75" i="8"/>
  <c r="M75" i="8" s="1"/>
  <c r="J18" i="8"/>
  <c r="M18" i="8" s="1"/>
  <c r="J36" i="8" l="1"/>
  <c r="M36" i="8" s="1"/>
  <c r="J35" i="8"/>
  <c r="M35" i="8" s="1"/>
  <c r="M128" i="8" l="1"/>
  <c r="M133" i="8" l="1"/>
  <c r="M21" i="46"/>
  <c r="R21" i="46" s="1"/>
  <c r="F44" i="7" l="1"/>
  <c r="F43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AK22" i="15"/>
  <c r="AK20" i="15"/>
  <c r="G27" i="63"/>
  <c r="F31" i="63"/>
  <c r="E31" i="63"/>
  <c r="F28" i="63"/>
  <c r="G22" i="63"/>
  <c r="F32" i="63" l="1"/>
  <c r="E28" i="63"/>
  <c r="AJ25" i="15"/>
  <c r="G13" i="63" l="1"/>
  <c r="G23" i="63"/>
  <c r="G26" i="63"/>
  <c r="G28" i="63" s="1"/>
  <c r="E32" i="63"/>
  <c r="C19" i="54" l="1"/>
  <c r="M10" i="46"/>
  <c r="M11" i="46"/>
  <c r="R11" i="46" s="1"/>
  <c r="N11" i="46"/>
  <c r="S11" i="46" s="1"/>
  <c r="N12" i="46"/>
  <c r="S12" i="46" s="1"/>
  <c r="M19" i="46"/>
  <c r="R19" i="46" s="1"/>
  <c r="N19" i="46"/>
  <c r="S19" i="46" s="1"/>
  <c r="M12" i="46"/>
  <c r="AL13" i="15"/>
  <c r="AL10" i="15"/>
  <c r="AL11" i="15"/>
  <c r="AL12" i="15"/>
  <c r="AL25" i="15"/>
  <c r="AL49" i="15"/>
  <c r="J34" i="8"/>
  <c r="M34" i="8" s="1"/>
  <c r="J31" i="8"/>
  <c r="M31" i="8" s="1"/>
  <c r="J27" i="8"/>
  <c r="J28" i="8"/>
  <c r="M28" i="8" s="1"/>
  <c r="J29" i="8"/>
  <c r="M29" i="8" s="1"/>
  <c r="J30" i="8"/>
  <c r="P30" i="8" s="1"/>
  <c r="P51" i="8" s="1"/>
  <c r="P21" i="8"/>
  <c r="J15" i="8"/>
  <c r="J90" i="8"/>
  <c r="P90" i="8" s="1"/>
  <c r="P96" i="8" s="1"/>
  <c r="D27" i="10"/>
  <c r="D35" i="10" s="1"/>
  <c r="E30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D20" i="44"/>
  <c r="O14" i="64"/>
  <c r="O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L27" i="44"/>
  <c r="L33" i="44" s="1"/>
  <c r="C49" i="44" s="1"/>
  <c r="M33" i="64"/>
  <c r="F20" i="42"/>
  <c r="M27" i="45"/>
  <c r="M33" i="45" s="1"/>
  <c r="D49" i="45" s="1"/>
  <c r="O53" i="64"/>
  <c r="N53" i="64"/>
  <c r="M53" i="64"/>
  <c r="E32" i="64"/>
  <c r="E34" i="64" s="1"/>
  <c r="D32" i="64"/>
  <c r="D34" i="64" s="1"/>
  <c r="M24" i="64"/>
  <c r="F20" i="64"/>
  <c r="F18" i="64"/>
  <c r="F16" i="64"/>
  <c r="F14" i="64"/>
  <c r="F13" i="64"/>
  <c r="O12" i="64"/>
  <c r="B12" i="64"/>
  <c r="B13" i="64"/>
  <c r="B14" i="64"/>
  <c r="B15" i="64" s="1"/>
  <c r="B16" i="64" s="1"/>
  <c r="B17" i="64" s="1"/>
  <c r="B18" i="64" s="1"/>
  <c r="B19" i="64" s="1"/>
  <c r="B20" i="64" s="1"/>
  <c r="B21" i="64" s="1"/>
  <c r="B22" i="64" s="1"/>
  <c r="B23" i="64" s="1"/>
  <c r="B24" i="64" s="1"/>
  <c r="B25" i="64" s="1"/>
  <c r="B26" i="64" s="1"/>
  <c r="B27" i="64" s="1"/>
  <c r="B28" i="64" s="1"/>
  <c r="B29" i="64" s="1"/>
  <c r="B30" i="64" s="1"/>
  <c r="B31" i="64" s="1"/>
  <c r="B32" i="64" s="1"/>
  <c r="B33" i="64" s="1"/>
  <c r="B34" i="64" s="1"/>
  <c r="B35" i="64" s="1"/>
  <c r="B36" i="64" s="1"/>
  <c r="B37" i="64" s="1"/>
  <c r="B38" i="64" s="1"/>
  <c r="B39" i="64" s="1"/>
  <c r="B40" i="64" s="1"/>
  <c r="B41" i="64" s="1"/>
  <c r="B42" i="64" s="1"/>
  <c r="B43" i="64" s="1"/>
  <c r="B44" i="64" s="1"/>
  <c r="B45" i="64" s="1"/>
  <c r="B46" i="64" s="1"/>
  <c r="B47" i="64" s="1"/>
  <c r="B48" i="64" s="1"/>
  <c r="B49" i="64" s="1"/>
  <c r="B50" i="64" s="1"/>
  <c r="B51" i="64" s="1"/>
  <c r="B52" i="64" s="1"/>
  <c r="B53" i="64" s="1"/>
  <c r="B54" i="64" s="1"/>
  <c r="N27" i="51"/>
  <c r="E24" i="46"/>
  <c r="D25" i="46"/>
  <c r="E25" i="46"/>
  <c r="D12" i="47"/>
  <c r="L16" i="49"/>
  <c r="C42" i="48"/>
  <c r="F29" i="13"/>
  <c r="M16" i="49"/>
  <c r="D42" i="48"/>
  <c r="P53" i="46"/>
  <c r="E40" i="24"/>
  <c r="E43" i="24" s="1"/>
  <c r="D40" i="24"/>
  <c r="Q53" i="46"/>
  <c r="P24" i="46"/>
  <c r="P34" i="46" s="1"/>
  <c r="P54" i="46" s="1"/>
  <c r="Q24" i="46"/>
  <c r="Q34" i="46"/>
  <c r="Q54" i="46" s="1"/>
  <c r="M46" i="47"/>
  <c r="N46" i="47"/>
  <c r="L19" i="48"/>
  <c r="M32" i="46"/>
  <c r="R32" i="46" s="1"/>
  <c r="AK24" i="15"/>
  <c r="AK21" i="15"/>
  <c r="AL21" i="15" s="1"/>
  <c r="AL20" i="15"/>
  <c r="AK14" i="15"/>
  <c r="AJ24" i="15"/>
  <c r="AJ66" i="15" s="1"/>
  <c r="AK23" i="15"/>
  <c r="AL23" i="15" s="1"/>
  <c r="E30" i="13"/>
  <c r="K30" i="13" s="1"/>
  <c r="E29" i="13"/>
  <c r="K29" i="13" s="1"/>
  <c r="E28" i="13"/>
  <c r="K28" i="13" s="1"/>
  <c r="E11" i="13"/>
  <c r="K11" i="13" s="1"/>
  <c r="F27" i="7"/>
  <c r="E14" i="18"/>
  <c r="E17" i="18" s="1"/>
  <c r="M16" i="45" s="1"/>
  <c r="F13" i="18"/>
  <c r="F26" i="14"/>
  <c r="F18" i="7"/>
  <c r="AL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2" i="5"/>
  <c r="E33" i="5"/>
  <c r="E22" i="5"/>
  <c r="G73" i="8"/>
  <c r="J73" i="8" s="1"/>
  <c r="G55" i="8"/>
  <c r="E23" i="10"/>
  <c r="F31" i="7"/>
  <c r="F30" i="7"/>
  <c r="N21" i="46"/>
  <c r="J100" i="8"/>
  <c r="P100" i="8" s="1"/>
  <c r="N10" i="46"/>
  <c r="E13" i="14"/>
  <c r="D18" i="47"/>
  <c r="C16" i="49" s="1"/>
  <c r="F13" i="6"/>
  <c r="F13" i="7"/>
  <c r="F14" i="7"/>
  <c r="K24" i="13"/>
  <c r="H23" i="13"/>
  <c r="K23" i="13" s="1"/>
  <c r="G22" i="13"/>
  <c r="K22" i="13" s="1"/>
  <c r="G19" i="13"/>
  <c r="K19" i="13" s="1"/>
  <c r="D20" i="10"/>
  <c r="J74" i="8"/>
  <c r="P74" i="8" s="1"/>
  <c r="M79" i="8"/>
  <c r="J129" i="8"/>
  <c r="J133" i="8" s="1"/>
  <c r="N27" i="42"/>
  <c r="F42" i="7"/>
  <c r="F41" i="7"/>
  <c r="E21" i="6"/>
  <c r="E26" i="46" s="1"/>
  <c r="D21" i="6"/>
  <c r="F21" i="6"/>
  <c r="F26" i="46" s="1"/>
  <c r="F14" i="6"/>
  <c r="F25" i="47" s="1"/>
  <c r="E18" i="5"/>
  <c r="AL48" i="15"/>
  <c r="AL45" i="15"/>
  <c r="AL41" i="15"/>
  <c r="AL38" i="15"/>
  <c r="AL33" i="15"/>
  <c r="AL32" i="15"/>
  <c r="AL29" i="15"/>
  <c r="AL30" i="15"/>
  <c r="AL26" i="15"/>
  <c r="AL27" i="15"/>
  <c r="I40" i="13"/>
  <c r="J40" i="13"/>
  <c r="E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O46" i="46"/>
  <c r="O46" i="47" s="1"/>
  <c r="O41" i="24" s="1"/>
  <c r="C41" i="24" s="1"/>
  <c r="C42" i="24" s="1"/>
  <c r="O42" i="24" s="1"/>
  <c r="O20" i="45"/>
  <c r="F43" i="45"/>
  <c r="F43" i="51"/>
  <c r="E43" i="44"/>
  <c r="J110" i="8"/>
  <c r="P110" i="8" s="1"/>
  <c r="P114" i="8" s="1"/>
  <c r="D68" i="5"/>
  <c r="C67" i="5"/>
  <c r="D14" i="42" s="1"/>
  <c r="E17" i="5"/>
  <c r="M21" i="47"/>
  <c r="C26" i="10"/>
  <c r="E32" i="10"/>
  <c r="M27" i="51"/>
  <c r="AL44" i="15"/>
  <c r="E24" i="10"/>
  <c r="E15" i="10"/>
  <c r="E14" i="10"/>
  <c r="D79" i="8"/>
  <c r="F40" i="7"/>
  <c r="F39" i="7"/>
  <c r="E29" i="6"/>
  <c r="F29" i="6"/>
  <c r="D57" i="5"/>
  <c r="C57" i="5"/>
  <c r="E13" i="5"/>
  <c r="E14" i="5"/>
  <c r="E15" i="5"/>
  <c r="E12" i="5"/>
  <c r="E27" i="5"/>
  <c r="E26" i="5"/>
  <c r="E23" i="5"/>
  <c r="D63" i="7"/>
  <c r="D66" i="7" s="1"/>
  <c r="F23" i="14"/>
  <c r="I71" i="56"/>
  <c r="H71" i="56"/>
  <c r="G71" i="56"/>
  <c r="F71" i="56"/>
  <c r="E71" i="56"/>
  <c r="E66" i="7"/>
  <c r="AE50" i="15" s="1"/>
  <c r="AE66" i="15" s="1"/>
  <c r="F37" i="7"/>
  <c r="M69" i="8"/>
  <c r="G69" i="8"/>
  <c r="G102" i="8"/>
  <c r="J56" i="8"/>
  <c r="F36" i="7"/>
  <c r="F35" i="7"/>
  <c r="F34" i="7"/>
  <c r="D65" i="7"/>
  <c r="D102" i="8"/>
  <c r="E17" i="6"/>
  <c r="D17" i="6"/>
  <c r="C17" i="49" s="1"/>
  <c r="C18" i="49"/>
  <c r="C19" i="49"/>
  <c r="C21" i="49"/>
  <c r="C20" i="49"/>
  <c r="L13" i="48"/>
  <c r="L15" i="48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B12" i="42"/>
  <c r="B13" i="42" s="1"/>
  <c r="B14" i="42" s="1"/>
  <c r="B15" i="42" s="1"/>
  <c r="B16" i="42" s="1"/>
  <c r="B17" i="42" s="1"/>
  <c r="B18" i="42" s="1"/>
  <c r="B19" i="42" s="1"/>
  <c r="B20" i="42" s="1"/>
  <c r="B21" i="42" s="1"/>
  <c r="B22" i="42" s="1"/>
  <c r="B23" i="42" s="1"/>
  <c r="B24" i="42" s="1"/>
  <c r="B25" i="42" s="1"/>
  <c r="B26" i="42" s="1"/>
  <c r="B27" i="42" s="1"/>
  <c r="B28" i="42" s="1"/>
  <c r="B29" i="42" s="1"/>
  <c r="B30" i="42" s="1"/>
  <c r="B31" i="42" s="1"/>
  <c r="B32" i="42" s="1"/>
  <c r="B33" i="42" s="1"/>
  <c r="B34" i="42" s="1"/>
  <c r="B35" i="42" s="1"/>
  <c r="B36" i="42" s="1"/>
  <c r="B37" i="42" s="1"/>
  <c r="B38" i="42" s="1"/>
  <c r="B39" i="42" s="1"/>
  <c r="B40" i="42" s="1"/>
  <c r="B41" i="42" s="1"/>
  <c r="B42" i="42" s="1"/>
  <c r="B43" i="42" s="1"/>
  <c r="O12" i="42"/>
  <c r="O13" i="42"/>
  <c r="M24" i="42"/>
  <c r="M53" i="42"/>
  <c r="N53" i="42"/>
  <c r="O53" i="42"/>
  <c r="B12" i="5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F12" i="51"/>
  <c r="F13" i="51"/>
  <c r="O13" i="51"/>
  <c r="F14" i="51"/>
  <c r="O14" i="51"/>
  <c r="F16" i="51"/>
  <c r="F18" i="51"/>
  <c r="F20" i="51"/>
  <c r="N24" i="51"/>
  <c r="D32" i="51"/>
  <c r="D34" i="51"/>
  <c r="F34" i="51"/>
  <c r="E32" i="51"/>
  <c r="E34" i="51" s="1"/>
  <c r="N53" i="51"/>
  <c r="O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16" i="44"/>
  <c r="E18" i="44"/>
  <c r="E20" i="44"/>
  <c r="M24" i="44"/>
  <c r="L53" i="44"/>
  <c r="M53" i="44"/>
  <c r="N53" i="44"/>
  <c r="N16" i="45"/>
  <c r="N24" i="45" s="1"/>
  <c r="G12" i="18"/>
  <c r="G14" i="18" s="1"/>
  <c r="G17" i="18" s="1"/>
  <c r="O14" i="45"/>
  <c r="AL47" i="15"/>
  <c r="AL37" i="15"/>
  <c r="AL31" i="15"/>
  <c r="AL34" i="15"/>
  <c r="AL43" i="15"/>
  <c r="AL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4" i="45"/>
  <c r="F16" i="45"/>
  <c r="F18" i="45"/>
  <c r="M53" i="45"/>
  <c r="N53" i="45"/>
  <c r="O53" i="45"/>
  <c r="B10" i="46"/>
  <c r="F10" i="46"/>
  <c r="F41" i="46"/>
  <c r="F50" i="46"/>
  <c r="J69" i="8"/>
  <c r="D69" i="8"/>
  <c r="P69" i="8"/>
  <c r="J88" i="8"/>
  <c r="J99" i="8"/>
  <c r="M102" i="8"/>
  <c r="J117" i="8"/>
  <c r="J119" i="8" s="1"/>
  <c r="M27" i="44"/>
  <c r="M33" i="44" s="1"/>
  <c r="D49" i="44" s="1"/>
  <c r="F15" i="7"/>
  <c r="F16" i="7"/>
  <c r="F17" i="7"/>
  <c r="F28" i="7"/>
  <c r="F33" i="7"/>
  <c r="F15" i="6"/>
  <c r="D14" i="46"/>
  <c r="F34" i="6"/>
  <c r="F35" i="6" s="1"/>
  <c r="D35" i="6"/>
  <c r="E35" i="6"/>
  <c r="E10" i="5"/>
  <c r="E13" i="46"/>
  <c r="E25" i="5"/>
  <c r="E62" i="5"/>
  <c r="E63" i="5"/>
  <c r="E64" i="5"/>
  <c r="A10" i="49"/>
  <c r="A11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E33" i="49"/>
  <c r="L43" i="49"/>
  <c r="M43" i="49"/>
  <c r="N43" i="49"/>
  <c r="E10" i="48"/>
  <c r="E32" i="48"/>
  <c r="B10" i="47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F10" i="47"/>
  <c r="O36" i="24"/>
  <c r="C36" i="24" s="1"/>
  <c r="E41" i="47"/>
  <c r="F41" i="47" s="1"/>
  <c r="O12" i="45"/>
  <c r="M53" i="51"/>
  <c r="M27" i="42"/>
  <c r="E53" i="46"/>
  <c r="D53" i="46"/>
  <c r="F29" i="14"/>
  <c r="M20" i="46"/>
  <c r="R20" i="46" s="1"/>
  <c r="K80" i="13"/>
  <c r="E19" i="24"/>
  <c r="D19" i="24"/>
  <c r="L24" i="44"/>
  <c r="M24" i="51"/>
  <c r="D48" i="51" s="1"/>
  <c r="O12" i="51"/>
  <c r="N24" i="64"/>
  <c r="N24" i="42"/>
  <c r="E26" i="10"/>
  <c r="J122" i="8"/>
  <c r="J125" i="8" s="1"/>
  <c r="O27" i="64" s="1"/>
  <c r="E89" i="58"/>
  <c r="F89" i="58"/>
  <c r="O13" i="45"/>
  <c r="L20" i="48" l="1"/>
  <c r="R21" i="47"/>
  <c r="N53" i="47"/>
  <c r="S46" i="47"/>
  <c r="S53" i="47" s="1"/>
  <c r="M53" i="47"/>
  <c r="R46" i="47"/>
  <c r="M33" i="51"/>
  <c r="D49" i="51" s="1"/>
  <c r="R27" i="51"/>
  <c r="N33" i="51"/>
  <c r="S27" i="51"/>
  <c r="S33" i="51" s="1"/>
  <c r="M33" i="42"/>
  <c r="D49" i="42" s="1"/>
  <c r="I49" i="42" s="1"/>
  <c r="R27" i="42"/>
  <c r="D32" i="42"/>
  <c r="I32" i="42" s="1"/>
  <c r="I14" i="42"/>
  <c r="N33" i="42"/>
  <c r="E49" i="42" s="1"/>
  <c r="J49" i="42" s="1"/>
  <c r="S27" i="42"/>
  <c r="S33" i="42" s="1"/>
  <c r="S34" i="42" s="1"/>
  <c r="S54" i="42" s="1"/>
  <c r="N10" i="47"/>
  <c r="S10" i="46"/>
  <c r="M12" i="47"/>
  <c r="R12" i="46"/>
  <c r="T12" i="46" s="1"/>
  <c r="T11" i="46"/>
  <c r="N21" i="47"/>
  <c r="S21" i="46"/>
  <c r="T21" i="46" s="1"/>
  <c r="T19" i="46"/>
  <c r="M10" i="47"/>
  <c r="R10" i="46"/>
  <c r="D17" i="49"/>
  <c r="J25" i="46"/>
  <c r="K25" i="46"/>
  <c r="D18" i="49"/>
  <c r="F24" i="46"/>
  <c r="J24" i="46"/>
  <c r="E11" i="5"/>
  <c r="E47" i="5" s="1"/>
  <c r="E73" i="5" s="1"/>
  <c r="AK66" i="15"/>
  <c r="J51" i="8"/>
  <c r="D30" i="47"/>
  <c r="I30" i="47" s="1"/>
  <c r="D26" i="46"/>
  <c r="D24" i="6"/>
  <c r="F24" i="6" s="1"/>
  <c r="E21" i="5"/>
  <c r="C47" i="5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D30" i="46"/>
  <c r="D11" i="46"/>
  <c r="I11" i="46" s="1"/>
  <c r="D11" i="47"/>
  <c r="C11" i="48" s="1"/>
  <c r="F43" i="47"/>
  <c r="M88" i="8"/>
  <c r="M96" i="8" s="1"/>
  <c r="M31" i="46" s="1"/>
  <c r="J96" i="8"/>
  <c r="E48" i="64"/>
  <c r="D48" i="64"/>
  <c r="F34" i="64"/>
  <c r="F32" i="64"/>
  <c r="F30" i="47"/>
  <c r="E30" i="47"/>
  <c r="C58" i="5"/>
  <c r="C14" i="44"/>
  <c r="D58" i="5"/>
  <c r="D14" i="44"/>
  <c r="D32" i="44" s="1"/>
  <c r="D34" i="44" s="1"/>
  <c r="D48" i="44" s="1"/>
  <c r="D53" i="44" s="1"/>
  <c r="D54" i="44" s="1"/>
  <c r="D11" i="48"/>
  <c r="O24" i="42"/>
  <c r="O24" i="51"/>
  <c r="F48" i="51" s="1"/>
  <c r="N34" i="51"/>
  <c r="N54" i="51" s="1"/>
  <c r="J21" i="8"/>
  <c r="M27" i="8"/>
  <c r="O21" i="46"/>
  <c r="N20" i="46"/>
  <c r="C27" i="10"/>
  <c r="F30" i="46"/>
  <c r="E30" i="46"/>
  <c r="E40" i="6"/>
  <c r="F25" i="46"/>
  <c r="F17" i="6"/>
  <c r="D40" i="6"/>
  <c r="E31" i="5"/>
  <c r="E57" i="5"/>
  <c r="E58" i="5" s="1"/>
  <c r="H21" i="13"/>
  <c r="H40" i="13" s="1"/>
  <c r="E20" i="47"/>
  <c r="E48" i="45"/>
  <c r="M37" i="48"/>
  <c r="M44" i="48" s="1"/>
  <c r="E24" i="47"/>
  <c r="N16" i="49"/>
  <c r="E18" i="49"/>
  <c r="E42" i="48"/>
  <c r="M17" i="46"/>
  <c r="V50" i="15"/>
  <c r="V66" i="15" s="1"/>
  <c r="J55" i="8"/>
  <c r="M18" i="46"/>
  <c r="C12" i="48"/>
  <c r="E17" i="49"/>
  <c r="L37" i="48"/>
  <c r="L44" i="48" s="1"/>
  <c r="E53" i="47"/>
  <c r="AL14" i="15"/>
  <c r="A28" i="49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D53" i="47"/>
  <c r="O24" i="64"/>
  <c r="M34" i="64"/>
  <c r="M54" i="64" s="1"/>
  <c r="M34" i="42"/>
  <c r="M54" i="42" s="1"/>
  <c r="G79" i="8"/>
  <c r="G105" i="8" s="1"/>
  <c r="N28" i="47"/>
  <c r="N28" i="46"/>
  <c r="S28" i="46" s="1"/>
  <c r="P122" i="8"/>
  <c r="P125" i="8" s="1"/>
  <c r="N27" i="64" s="1"/>
  <c r="S27" i="64" s="1"/>
  <c r="M15" i="8"/>
  <c r="J109" i="8"/>
  <c r="M21" i="8"/>
  <c r="N27" i="44"/>
  <c r="N33" i="44" s="1"/>
  <c r="E49" i="44" s="1"/>
  <c r="M19" i="47"/>
  <c r="O19" i="46"/>
  <c r="O19" i="47" s="1"/>
  <c r="N19" i="47"/>
  <c r="N24" i="44"/>
  <c r="O27" i="42"/>
  <c r="O33" i="42" s="1"/>
  <c r="F49" i="42" s="1"/>
  <c r="D49" i="64"/>
  <c r="D53" i="64" s="1"/>
  <c r="D54" i="64" s="1"/>
  <c r="L34" i="44"/>
  <c r="L54" i="44" s="1"/>
  <c r="M34" i="44"/>
  <c r="M54" i="44" s="1"/>
  <c r="O27" i="51"/>
  <c r="O33" i="51" s="1"/>
  <c r="F49" i="51" s="1"/>
  <c r="G21" i="13"/>
  <c r="F63" i="7"/>
  <c r="F66" i="7" s="1"/>
  <c r="N18" i="46"/>
  <c r="N12" i="47"/>
  <c r="O12" i="46"/>
  <c r="O10" i="46"/>
  <c r="F53" i="46"/>
  <c r="G32" i="63"/>
  <c r="N14" i="46"/>
  <c r="S14" i="46" s="1"/>
  <c r="E14" i="42"/>
  <c r="E67" i="5"/>
  <c r="E68" i="5" s="1"/>
  <c r="C68" i="5"/>
  <c r="F32" i="51"/>
  <c r="AB50" i="15"/>
  <c r="AB66" i="15" s="1"/>
  <c r="D68" i="7"/>
  <c r="M30" i="47"/>
  <c r="R30" i="47" s="1"/>
  <c r="J102" i="8"/>
  <c r="P99" i="8"/>
  <c r="P102" i="8" s="1"/>
  <c r="N31" i="46" s="1"/>
  <c r="O53" i="47"/>
  <c r="N37" i="48"/>
  <c r="N44" i="48" s="1"/>
  <c r="P73" i="8"/>
  <c r="P79" i="8" s="1"/>
  <c r="J79" i="8"/>
  <c r="M11" i="47"/>
  <c r="R11" i="47" s="1"/>
  <c r="O11" i="46"/>
  <c r="N34" i="42"/>
  <c r="N54" i="42" s="1"/>
  <c r="N30" i="47"/>
  <c r="M14" i="46"/>
  <c r="R14" i="46" s="1"/>
  <c r="AL24" i="15"/>
  <c r="M32" i="47"/>
  <c r="E20" i="10"/>
  <c r="D11" i="49"/>
  <c r="E31" i="14"/>
  <c r="E17" i="46" s="1"/>
  <c r="F26" i="13"/>
  <c r="F40" i="13" s="1"/>
  <c r="E17" i="47" s="1"/>
  <c r="D12" i="48"/>
  <c r="F20" i="46"/>
  <c r="D20" i="47"/>
  <c r="I20" i="47" s="1"/>
  <c r="F20" i="45"/>
  <c r="F32" i="45" s="1"/>
  <c r="F34" i="45" s="1"/>
  <c r="D32" i="45"/>
  <c r="D34" i="45" s="1"/>
  <c r="D31" i="14"/>
  <c r="E26" i="13"/>
  <c r="F13" i="14"/>
  <c r="E48" i="51"/>
  <c r="E53" i="51" s="1"/>
  <c r="E54" i="51" s="1"/>
  <c r="F12" i="46"/>
  <c r="F12" i="47" s="1"/>
  <c r="E12" i="48" s="1"/>
  <c r="H22" i="24"/>
  <c r="N32" i="47"/>
  <c r="N32" i="46"/>
  <c r="S32" i="46" s="1"/>
  <c r="T32" i="46" s="1"/>
  <c r="M43" i="24"/>
  <c r="M24" i="8"/>
  <c r="N11" i="47"/>
  <c r="S11" i="47" s="1"/>
  <c r="F43" i="24"/>
  <c r="M17" i="49" l="1"/>
  <c r="S30" i="47"/>
  <c r="T30" i="47" s="1"/>
  <c r="M18" i="48"/>
  <c r="S19" i="47"/>
  <c r="M19" i="49"/>
  <c r="S32" i="47"/>
  <c r="L19" i="49"/>
  <c r="R32" i="47"/>
  <c r="M15" i="49"/>
  <c r="S28" i="47"/>
  <c r="L12" i="48"/>
  <c r="R12" i="47"/>
  <c r="T12" i="47" s="1"/>
  <c r="M12" i="48"/>
  <c r="S12" i="47"/>
  <c r="L18" i="48"/>
  <c r="R19" i="47"/>
  <c r="T19" i="47" s="1"/>
  <c r="M20" i="48"/>
  <c r="S21" i="47"/>
  <c r="T21" i="47" s="1"/>
  <c r="R53" i="47"/>
  <c r="T46" i="47"/>
  <c r="T53" i="47" s="1"/>
  <c r="D33" i="47"/>
  <c r="T11" i="47"/>
  <c r="M10" i="48"/>
  <c r="S10" i="47"/>
  <c r="D21" i="49"/>
  <c r="J30" i="47"/>
  <c r="J33" i="47" s="1"/>
  <c r="D16" i="48"/>
  <c r="J20" i="47"/>
  <c r="J32" i="47" s="1"/>
  <c r="L10" i="48"/>
  <c r="R10" i="47"/>
  <c r="F24" i="47"/>
  <c r="F33" i="47" s="1"/>
  <c r="E33" i="47"/>
  <c r="I33" i="47"/>
  <c r="I32" i="47"/>
  <c r="I34" i="47" s="1"/>
  <c r="O21" i="47"/>
  <c r="N20" i="48" s="1"/>
  <c r="S33" i="64"/>
  <c r="T27" i="64"/>
  <c r="T33" i="64" s="1"/>
  <c r="T27" i="51"/>
  <c r="T33" i="51" s="1"/>
  <c r="R33" i="51"/>
  <c r="M34" i="51"/>
  <c r="M54" i="51" s="1"/>
  <c r="J49" i="51"/>
  <c r="J53" i="51" s="1"/>
  <c r="J54" i="51" s="1"/>
  <c r="S34" i="51"/>
  <c r="S54" i="51" s="1"/>
  <c r="E32" i="42"/>
  <c r="J32" i="42" s="1"/>
  <c r="K32" i="42" s="1"/>
  <c r="J14" i="42"/>
  <c r="K14" i="42"/>
  <c r="D48" i="42"/>
  <c r="I48" i="42" s="1"/>
  <c r="D34" i="42"/>
  <c r="I34" i="42" s="1"/>
  <c r="T27" i="42"/>
  <c r="T33" i="42" s="1"/>
  <c r="R33" i="42"/>
  <c r="R34" i="42" s="1"/>
  <c r="O10" i="47"/>
  <c r="N10" i="48" s="1"/>
  <c r="K49" i="42"/>
  <c r="J17" i="46"/>
  <c r="J32" i="46" s="1"/>
  <c r="E32" i="46"/>
  <c r="N31" i="47"/>
  <c r="S31" i="46"/>
  <c r="N18" i="47"/>
  <c r="S18" i="46"/>
  <c r="M18" i="47"/>
  <c r="R18" i="46"/>
  <c r="T18" i="46" s="1"/>
  <c r="N20" i="47"/>
  <c r="S20" i="46"/>
  <c r="T20" i="46" s="1"/>
  <c r="K11" i="46"/>
  <c r="I32" i="46"/>
  <c r="K24" i="46"/>
  <c r="T14" i="46"/>
  <c r="M17" i="47"/>
  <c r="R17" i="46"/>
  <c r="E33" i="46"/>
  <c r="E34" i="46" s="1"/>
  <c r="E54" i="46" s="1"/>
  <c r="J30" i="46"/>
  <c r="K30" i="46" s="1"/>
  <c r="M31" i="47"/>
  <c r="R31" i="46"/>
  <c r="T10" i="46"/>
  <c r="R24" i="46"/>
  <c r="D33" i="46"/>
  <c r="M51" i="8"/>
  <c r="M105" i="8"/>
  <c r="F11" i="46"/>
  <c r="F11" i="47"/>
  <c r="E11" i="48" s="1"/>
  <c r="E37" i="5"/>
  <c r="N18" i="48"/>
  <c r="O29" i="24"/>
  <c r="M49" i="46"/>
  <c r="R49" i="46" s="1"/>
  <c r="N27" i="46"/>
  <c r="S27" i="46" s="1"/>
  <c r="N27" i="45"/>
  <c r="O27" i="45" s="1"/>
  <c r="O33" i="45" s="1"/>
  <c r="F49" i="45" s="1"/>
  <c r="J114" i="8"/>
  <c r="J145" i="8" s="1"/>
  <c r="F40" i="6"/>
  <c r="F48" i="64"/>
  <c r="C32" i="44"/>
  <c r="C34" i="44" s="1"/>
  <c r="E14" i="44"/>
  <c r="E32" i="44" s="1"/>
  <c r="F13" i="46"/>
  <c r="E34" i="42"/>
  <c r="D14" i="48"/>
  <c r="F53" i="51"/>
  <c r="F54" i="51" s="1"/>
  <c r="J105" i="8"/>
  <c r="O20" i="46"/>
  <c r="C35" i="10"/>
  <c r="E27" i="10"/>
  <c r="E35" i="10" s="1"/>
  <c r="F33" i="46"/>
  <c r="K21" i="13"/>
  <c r="D13" i="48"/>
  <c r="D16" i="49"/>
  <c r="D24" i="49" s="1"/>
  <c r="D25" i="49" s="1"/>
  <c r="E16" i="49"/>
  <c r="F53" i="47"/>
  <c r="O21" i="24" s="1"/>
  <c r="C21" i="24" s="1"/>
  <c r="G145" i="8"/>
  <c r="M24" i="46"/>
  <c r="M28" i="47"/>
  <c r="R28" i="47" s="1"/>
  <c r="T28" i="47" s="1"/>
  <c r="N33" i="64"/>
  <c r="N34" i="44"/>
  <c r="N54" i="44" s="1"/>
  <c r="D53" i="42"/>
  <c r="O34" i="42"/>
  <c r="O54" i="42" s="1"/>
  <c r="O34" i="51"/>
  <c r="O54" i="51" s="1"/>
  <c r="G40" i="13"/>
  <c r="O18" i="46"/>
  <c r="O18" i="47" s="1"/>
  <c r="N17" i="48" s="1"/>
  <c r="O12" i="47"/>
  <c r="O27" i="24" s="1"/>
  <c r="C27" i="24" s="1"/>
  <c r="M24" i="45"/>
  <c r="O16" i="45"/>
  <c r="O24" i="45" s="1"/>
  <c r="N14" i="47"/>
  <c r="F14" i="42"/>
  <c r="F32" i="42" s="1"/>
  <c r="F48" i="42" s="1"/>
  <c r="F53" i="42" s="1"/>
  <c r="C16" i="48"/>
  <c r="F20" i="47"/>
  <c r="D53" i="51"/>
  <c r="D54" i="51" s="1"/>
  <c r="C11" i="49"/>
  <c r="C24" i="49" s="1"/>
  <c r="C25" i="49" s="1"/>
  <c r="D17" i="46"/>
  <c r="I17" i="46" s="1"/>
  <c r="K17" i="46" s="1"/>
  <c r="F31" i="14"/>
  <c r="F17" i="46" s="1"/>
  <c r="P145" i="8"/>
  <c r="O14" i="46"/>
  <c r="M14" i="47"/>
  <c r="L11" i="48"/>
  <c r="O11" i="47"/>
  <c r="L17" i="49"/>
  <c r="N17" i="49" s="1"/>
  <c r="O30" i="47"/>
  <c r="O37" i="24" s="1"/>
  <c r="C37" i="24" s="1"/>
  <c r="E40" i="13"/>
  <c r="K26" i="13"/>
  <c r="M11" i="48"/>
  <c r="O17" i="24"/>
  <c r="C17" i="24" s="1"/>
  <c r="E21" i="49"/>
  <c r="F65" i="7"/>
  <c r="F68" i="7" s="1"/>
  <c r="O17" i="46"/>
  <c r="O17" i="47" s="1"/>
  <c r="O31" i="46"/>
  <c r="P105" i="8"/>
  <c r="O32" i="46"/>
  <c r="O32" i="47"/>
  <c r="C13" i="48"/>
  <c r="M14" i="48" l="1"/>
  <c r="S14" i="47"/>
  <c r="O15" i="24"/>
  <c r="O19" i="24" s="1"/>
  <c r="L18" i="49"/>
  <c r="R31" i="47"/>
  <c r="L16" i="48"/>
  <c r="R17" i="47"/>
  <c r="L17" i="48"/>
  <c r="R18" i="47"/>
  <c r="M18" i="49"/>
  <c r="S31" i="47"/>
  <c r="T31" i="47" s="1"/>
  <c r="I54" i="47"/>
  <c r="T10" i="47"/>
  <c r="T32" i="47"/>
  <c r="L14" i="48"/>
  <c r="R14" i="47"/>
  <c r="T14" i="47" s="1"/>
  <c r="M19" i="48"/>
  <c r="S20" i="47"/>
  <c r="T20" i="47" s="1"/>
  <c r="M17" i="48"/>
  <c r="S18" i="47"/>
  <c r="J34" i="47"/>
  <c r="K20" i="47"/>
  <c r="K32" i="47" s="1"/>
  <c r="O25" i="24"/>
  <c r="C25" i="24" s="1"/>
  <c r="O20" i="47"/>
  <c r="N19" i="48" s="1"/>
  <c r="K30" i="47"/>
  <c r="K33" i="47" s="1"/>
  <c r="I34" i="46"/>
  <c r="S34" i="64"/>
  <c r="S54" i="64" s="1"/>
  <c r="J49" i="64"/>
  <c r="J53" i="64" s="1"/>
  <c r="J54" i="64" s="1"/>
  <c r="K49" i="64"/>
  <c r="K53" i="64" s="1"/>
  <c r="K54" i="64" s="1"/>
  <c r="T34" i="64"/>
  <c r="T54" i="64" s="1"/>
  <c r="R34" i="51"/>
  <c r="R54" i="51" s="1"/>
  <c r="I49" i="51"/>
  <c r="I53" i="51" s="1"/>
  <c r="I54" i="51" s="1"/>
  <c r="K49" i="51"/>
  <c r="K53" i="51" s="1"/>
  <c r="K54" i="51" s="1"/>
  <c r="T34" i="51"/>
  <c r="T54" i="51" s="1"/>
  <c r="T34" i="42"/>
  <c r="T54" i="42" s="1"/>
  <c r="R54" i="42"/>
  <c r="E48" i="42"/>
  <c r="D54" i="42"/>
  <c r="I54" i="42" s="1"/>
  <c r="I53" i="42"/>
  <c r="F34" i="42"/>
  <c r="F54" i="42" s="1"/>
  <c r="J34" i="42"/>
  <c r="K34" i="42"/>
  <c r="F32" i="46"/>
  <c r="K32" i="46"/>
  <c r="S33" i="46"/>
  <c r="T31" i="46"/>
  <c r="J33" i="46"/>
  <c r="O31" i="47"/>
  <c r="N18" i="49" s="1"/>
  <c r="K33" i="46"/>
  <c r="J34" i="46"/>
  <c r="F13" i="47"/>
  <c r="E13" i="48" s="1"/>
  <c r="E70" i="5"/>
  <c r="M34" i="45"/>
  <c r="M54" i="45" s="1"/>
  <c r="D48" i="45"/>
  <c r="D53" i="45" s="1"/>
  <c r="D54" i="45" s="1"/>
  <c r="D22" i="48"/>
  <c r="D24" i="48" s="1"/>
  <c r="M27" i="46"/>
  <c r="N33" i="45"/>
  <c r="N34" i="45" s="1"/>
  <c r="N54" i="45" s="1"/>
  <c r="O8" i="24"/>
  <c r="C8" i="24" s="1"/>
  <c r="E34" i="44"/>
  <c r="E48" i="44" s="1"/>
  <c r="E53" i="44" s="1"/>
  <c r="E54" i="44" s="1"/>
  <c r="C48" i="44"/>
  <c r="C53" i="44" s="1"/>
  <c r="C54" i="44" s="1"/>
  <c r="E32" i="47"/>
  <c r="E34" i="47" s="1"/>
  <c r="E54" i="47" s="1"/>
  <c r="N48" i="46"/>
  <c r="S48" i="46" s="1"/>
  <c r="M28" i="46"/>
  <c r="O33" i="64"/>
  <c r="O34" i="64" s="1"/>
  <c r="O54" i="64" s="1"/>
  <c r="L15" i="49"/>
  <c r="N15" i="49" s="1"/>
  <c r="O28" i="47"/>
  <c r="O35" i="24" s="1"/>
  <c r="C35" i="24" s="1"/>
  <c r="N27" i="47"/>
  <c r="M145" i="8"/>
  <c r="N33" i="46"/>
  <c r="O34" i="45"/>
  <c r="O54" i="45" s="1"/>
  <c r="K40" i="13"/>
  <c r="O31" i="24"/>
  <c r="C31" i="24" s="1"/>
  <c r="N12" i="48"/>
  <c r="F48" i="45"/>
  <c r="F53" i="45" s="1"/>
  <c r="F54" i="45" s="1"/>
  <c r="O14" i="47"/>
  <c r="L22" i="48"/>
  <c r="L24" i="48" s="1"/>
  <c r="M24" i="47"/>
  <c r="O39" i="24"/>
  <c r="C39" i="24" s="1"/>
  <c r="N19" i="49"/>
  <c r="D17" i="47"/>
  <c r="D32" i="47" s="1"/>
  <c r="D32" i="46"/>
  <c r="D34" i="46" s="1"/>
  <c r="O26" i="24"/>
  <c r="C26" i="24" s="1"/>
  <c r="N11" i="48"/>
  <c r="O11" i="24"/>
  <c r="C11" i="24" s="1"/>
  <c r="E16" i="48"/>
  <c r="E11" i="49"/>
  <c r="E24" i="49" s="1"/>
  <c r="E25" i="49" s="1"/>
  <c r="O24" i="46"/>
  <c r="N34" i="64"/>
  <c r="N54" i="64" s="1"/>
  <c r="E49" i="64"/>
  <c r="E53" i="64" s="1"/>
  <c r="E54" i="64" s="1"/>
  <c r="N16" i="48"/>
  <c r="O30" i="24"/>
  <c r="C19" i="24"/>
  <c r="M14" i="49" l="1"/>
  <c r="M20" i="49" s="1"/>
  <c r="M25" i="49" s="1"/>
  <c r="S27" i="47"/>
  <c r="S33" i="47" s="1"/>
  <c r="J54" i="47"/>
  <c r="R24" i="47"/>
  <c r="O32" i="24"/>
  <c r="C32" i="24" s="1"/>
  <c r="T18" i="47"/>
  <c r="K34" i="47"/>
  <c r="J54" i="46"/>
  <c r="I54" i="46"/>
  <c r="K34" i="46"/>
  <c r="E53" i="42"/>
  <c r="J48" i="42"/>
  <c r="K48" i="42" s="1"/>
  <c r="O28" i="46"/>
  <c r="R28" i="46"/>
  <c r="T28" i="46" s="1"/>
  <c r="O38" i="24"/>
  <c r="C38" i="24" s="1"/>
  <c r="O27" i="46"/>
  <c r="R27" i="46"/>
  <c r="N14" i="48"/>
  <c r="N22" i="48" s="1"/>
  <c r="N24" i="48" s="1"/>
  <c r="O28" i="24"/>
  <c r="C28" i="24" s="1"/>
  <c r="L45" i="48"/>
  <c r="E49" i="45"/>
  <c r="E53" i="45" s="1"/>
  <c r="E54" i="45" s="1"/>
  <c r="M27" i="47"/>
  <c r="O33" i="46"/>
  <c r="O34" i="46" s="1"/>
  <c r="O9" i="24"/>
  <c r="C9" i="24" s="1"/>
  <c r="M33" i="46"/>
  <c r="M34" i="46" s="1"/>
  <c r="D36" i="46" s="1"/>
  <c r="F49" i="64"/>
  <c r="F53" i="64" s="1"/>
  <c r="F54" i="64" s="1"/>
  <c r="N33" i="47"/>
  <c r="M48" i="46"/>
  <c r="O24" i="47"/>
  <c r="F17" i="47"/>
  <c r="F32" i="47" s="1"/>
  <c r="C14" i="48"/>
  <c r="C22" i="48" s="1"/>
  <c r="C24" i="48" s="1"/>
  <c r="C26" i="48" s="1"/>
  <c r="D34" i="47"/>
  <c r="M44" i="49"/>
  <c r="D27" i="49"/>
  <c r="D54" i="46"/>
  <c r="F34" i="46"/>
  <c r="K54" i="47" l="1"/>
  <c r="L14" i="49"/>
  <c r="L20" i="49" s="1"/>
  <c r="L25" i="49" s="1"/>
  <c r="L44" i="49" s="1"/>
  <c r="R27" i="47"/>
  <c r="K54" i="46"/>
  <c r="J53" i="42"/>
  <c r="K53" i="42" s="1"/>
  <c r="E54" i="42"/>
  <c r="J54" i="42" s="1"/>
  <c r="K54" i="42" s="1"/>
  <c r="R33" i="46"/>
  <c r="R34" i="46" s="1"/>
  <c r="T27" i="46"/>
  <c r="T33" i="46" s="1"/>
  <c r="M53" i="46"/>
  <c r="M54" i="46" s="1"/>
  <c r="R48" i="46"/>
  <c r="N45" i="48"/>
  <c r="N49" i="46"/>
  <c r="M33" i="47"/>
  <c r="M34" i="47" s="1"/>
  <c r="M54" i="47" s="1"/>
  <c r="O27" i="47"/>
  <c r="O34" i="24" s="1"/>
  <c r="D35" i="49"/>
  <c r="D36" i="48" s="1"/>
  <c r="D44" i="48" s="1"/>
  <c r="D45" i="48" s="1"/>
  <c r="O49" i="46"/>
  <c r="F36" i="46"/>
  <c r="O48" i="46"/>
  <c r="C33" i="24"/>
  <c r="O33" i="24"/>
  <c r="D54" i="47"/>
  <c r="F34" i="47"/>
  <c r="F54" i="47" s="1"/>
  <c r="F54" i="46"/>
  <c r="E14" i="48"/>
  <c r="E22" i="48" s="1"/>
  <c r="E24" i="48" s="1"/>
  <c r="E26" i="48" s="1"/>
  <c r="O10" i="24"/>
  <c r="C27" i="49" l="1"/>
  <c r="T27" i="47"/>
  <c r="T33" i="47" s="1"/>
  <c r="R33" i="47"/>
  <c r="R34" i="47" s="1"/>
  <c r="T48" i="46"/>
  <c r="R53" i="46"/>
  <c r="R54" i="46" s="1"/>
  <c r="N53" i="46"/>
  <c r="S49" i="46"/>
  <c r="N14" i="49"/>
  <c r="N20" i="49" s="1"/>
  <c r="N25" i="49" s="1"/>
  <c r="E27" i="49" s="1"/>
  <c r="D36" i="47"/>
  <c r="O33" i="47"/>
  <c r="O34" i="47" s="1"/>
  <c r="F36" i="47" s="1"/>
  <c r="D43" i="49"/>
  <c r="D44" i="49" s="1"/>
  <c r="C35" i="49"/>
  <c r="C36" i="48" s="1"/>
  <c r="O53" i="46"/>
  <c r="O54" i="46" s="1"/>
  <c r="C10" i="24"/>
  <c r="O14" i="24"/>
  <c r="O22" i="24" s="1"/>
  <c r="O40" i="24"/>
  <c r="C34" i="24"/>
  <c r="R54" i="47" l="1"/>
  <c r="I36" i="47"/>
  <c r="T49" i="46"/>
  <c r="T53" i="46" s="1"/>
  <c r="S53" i="46"/>
  <c r="C14" i="24"/>
  <c r="C22" i="24" s="1"/>
  <c r="C40" i="24"/>
  <c r="C43" i="24" s="1"/>
  <c r="O43" i="24" s="1"/>
  <c r="N44" i="49"/>
  <c r="O54" i="47"/>
  <c r="F56" i="47" s="1"/>
  <c r="E35" i="49"/>
  <c r="E36" i="48" s="1"/>
  <c r="E43" i="49" l="1"/>
  <c r="E44" i="49" s="1"/>
  <c r="C43" i="49"/>
  <c r="C44" i="49" s="1"/>
  <c r="E44" i="48" l="1"/>
  <c r="E45" i="48" s="1"/>
  <c r="C44" i="48"/>
  <c r="C45" i="48" s="1"/>
  <c r="E65" i="7" l="1"/>
  <c r="E68" i="7" s="1"/>
  <c r="N17" i="46"/>
  <c r="N17" i="47" l="1"/>
  <c r="S17" i="46"/>
  <c r="Y50" i="15"/>
  <c r="Y66" i="15" s="1"/>
  <c r="N24" i="47"/>
  <c r="N34" i="47" s="1"/>
  <c r="N24" i="46"/>
  <c r="N34" i="46" s="1"/>
  <c r="M16" i="48" l="1"/>
  <c r="M22" i="48" s="1"/>
  <c r="M24" i="48" s="1"/>
  <c r="S17" i="47"/>
  <c r="T17" i="46"/>
  <c r="T24" i="46" s="1"/>
  <c r="T34" i="46" s="1"/>
  <c r="T54" i="46" s="1"/>
  <c r="S24" i="46"/>
  <c r="S34" i="46" s="1"/>
  <c r="S54" i="46" s="1"/>
  <c r="M45" i="48"/>
  <c r="D26" i="48"/>
  <c r="AL50" i="15"/>
  <c r="AL66" i="15" s="1"/>
  <c r="N54" i="46"/>
  <c r="E36" i="46"/>
  <c r="E36" i="47"/>
  <c r="N54" i="47"/>
  <c r="D145" i="8"/>
  <c r="F48" i="44"/>
  <c r="F53" i="44" s="1"/>
  <c r="S24" i="47" l="1"/>
  <c r="S34" i="47" s="1"/>
  <c r="T17" i="47"/>
  <c r="T24" i="47" s="1"/>
  <c r="T34" i="47" s="1"/>
  <c r="T54" i="47" l="1"/>
  <c r="K36" i="47"/>
  <c r="S54" i="47"/>
  <c r="J36" i="47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<sst xmlns="http://schemas.openxmlformats.org/spreadsheetml/2006/main" count="3133" uniqueCount="1304">
  <si>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</si>
  <si>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</si>
  <si>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</si>
  <si>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</si>
  <si>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</si>
  <si>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</si>
  <si>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</si>
  <si>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</si>
  <si>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</si>
  <si>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</si>
  <si>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</si>
  <si>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</si>
  <si>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</si>
  <si>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</si>
  <si>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</si>
  <si>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</si>
  <si>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</si>
  <si>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</si>
  <si>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</si>
  <si>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</si>
  <si>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</si>
  <si>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</si>
  <si>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</si>
  <si>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</si>
  <si>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</si>
  <si>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</si>
  <si>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</si>
  <si>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</si>
  <si>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</si>
  <si>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</si>
  <si>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</si>
  <si>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</si>
  <si>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</si>
  <si>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</si>
  <si>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</si>
  <si>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</si>
  <si>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</si>
  <si>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</si>
  <si>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</si>
  <si>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</si>
  <si>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</si>
  <si>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</si>
  <si>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</si>
  <si>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</si>
  <si>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</si>
  <si>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</si>
  <si>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</si>
  <si>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</si>
  <si>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</si>
  <si>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</si>
  <si>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</si>
  <si>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</si>
  <si>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</si>
  <si>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</si>
  <si>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</si>
  <si>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</si>
  <si>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</si>
  <si>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</si>
  <si>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</si>
  <si>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</si>
  <si>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</si>
  <si>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</si>
  <si>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</si>
  <si>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</si>
  <si>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</si>
  <si>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</si>
  <si>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</si>
  <si>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</si>
  <si>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</si>
  <si>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</si>
  <si>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</si>
  <si>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</si>
  <si>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</si>
  <si>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</si>
  <si>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</si>
  <si>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</si>
  <si>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</si>
  <si>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</si>
  <si>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</si>
  <si>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</si>
  <si>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</si>
  <si>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</si>
  <si>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</si>
  <si>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</si>
  <si>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</si>
  <si>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</si>
  <si>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</si>
  <si>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</si>
  <si>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</si>
  <si>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</si>
  <si>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</si>
  <si>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</si>
  <si>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</si>
  <si>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</si>
  <si>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</si>
  <si>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</si>
  <si>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</si>
  <si>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</si>
  <si>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</si>
  <si>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</si>
  <si>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</si>
  <si>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</si>
  <si>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</si>
  <si>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</si>
  <si>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</si>
  <si>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</si>
  <si>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</si>
  <si>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</si>
  <si>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</si>
  <si>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</si>
  <si>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</si>
  <si>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</si>
  <si>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</si>
  <si>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</si>
  <si>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</si>
  <si>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</si>
  <si>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</si>
  <si>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</si>
  <si>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</si>
  <si>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</si>
  <si>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</si>
  <si>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</si>
  <si>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</si>
  <si>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</si>
  <si>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</si>
  <si>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</si>
  <si>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</si>
  <si>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</si>
  <si>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</si>
  <si>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</si>
  <si>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</si>
  <si>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</si>
  <si>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</si>
  <si>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</si>
  <si>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</si>
  <si>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</si>
  <si>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</si>
  <si>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</si>
  <si>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</si>
  <si>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</si>
  <si>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</si>
  <si>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</si>
  <si>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</si>
  <si>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</si>
  <si>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</si>
  <si>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</si>
  <si>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</si>
  <si>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</si>
  <si>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</si>
  <si>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</si>
  <si>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</si>
  <si>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</si>
  <si>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</si>
  <si>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</si>
  <si>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</si>
  <si>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</si>
  <si>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</si>
  <si>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</si>
  <si>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</si>
  <si>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</si>
  <si>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</si>
  <si>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</si>
  <si>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</si>
  <si>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</si>
  <si>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</si>
  <si>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</si>
  <si>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</si>
  <si>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</si>
  <si>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</si>
  <si>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</si>
  <si>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</si>
  <si>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</si>
  <si>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</si>
  <si>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</si>
  <si>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</si>
  <si>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</si>
  <si>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</si>
  <si>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</si>
  <si>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</si>
  <si>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</si>
  <si>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</si>
  <si>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</si>
  <si>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</si>
  <si>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</si>
  <si>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</si>
  <si>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</si>
  <si>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</si>
  <si>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</si>
  <si>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</si>
  <si>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</si>
  <si>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</si>
  <si>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</si>
  <si>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</si>
  <si>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</si>
  <si>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</si>
  <si>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</si>
  <si>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</si>
  <si>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</si>
  <si>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</si>
  <si>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</si>
  <si>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</si>
  <si>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</si>
  <si>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</si>
  <si>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</si>
  <si>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</si>
  <si>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</si>
  <si>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</si>
  <si>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</si>
  <si>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</si>
  <si>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</si>
  <si>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</si>
  <si>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</si>
  <si>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</si>
  <si>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</si>
  <si>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</si>
  <si>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</si>
  <si>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</si>
  <si>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</si>
  <si>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</si>
  <si>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</si>
  <si>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</si>
  <si>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</si>
  <si>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</si>
  <si>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</si>
  <si>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</si>
  <si>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</si>
  <si>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</si>
  <si>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</si>
  <si>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</si>
  <si>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</si>
  <si>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</si>
  <si>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</si>
  <si>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</si>
  <si>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</si>
  <si>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</si>
  <si>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</si>
  <si>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</si>
  <si>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</si>
  <si>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</si>
  <si>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</si>
  <si>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</si>
  <si>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</si>
  <si>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</si>
  <si>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</si>
  <si>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</si>
  <si>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</si>
  <si>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</si>
  <si>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</si>
  <si>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</si>
  <si>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</si>
  <si>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</si>
  <si>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</si>
  <si>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</si>
  <si>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</si>
  <si>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</si>
  <si>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</si>
  <si>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</si>
  <si>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</si>
  <si>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</si>
  <si>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</si>
  <si>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</si>
  <si>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</si>
  <si>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</si>
  <si>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</si>
  <si>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</si>
  <si>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</si>
  <si>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</si>
  <si>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</si>
  <si>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</si>
  <si>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</si>
  <si>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</si>
  <si>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</si>
  <si>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</si>
  <si>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</si>
  <si>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</si>
  <si>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</si>
  <si>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</si>
  <si>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</si>
  <si>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</si>
  <si>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</si>
  <si>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</si>
  <si>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</si>
  <si>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</si>
  <si>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</si>
  <si>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</si>
  <si>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</si>
  <si>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</si>
  <si>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</si>
  <si>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</si>
  <si>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</si>
  <si>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</si>
  <si>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</si>
  <si>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</si>
  <si>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</si>
  <si>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</si>
  <si>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</si>
  <si>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</si>
  <si>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</si>
  <si>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</si>
  <si>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</si>
  <si>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</si>
  <si>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</si>
  <si>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</si>
  <si>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</si>
  <si>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</si>
  <si>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</si>
  <si>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</si>
  <si>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</si>
  <si>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</si>
  <si>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</si>
  <si>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</si>
  <si>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</si>
  <si>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</si>
  <si>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</si>
  <si>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</si>
  <si>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</si>
  <si>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</si>
  <si>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</si>
  <si>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</si>
  <si>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</si>
  <si>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</si>
  <si>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</si>
  <si>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</si>
  <si>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</si>
  <si>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</si>
  <si>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</si>
  <si>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</si>
  <si>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</si>
  <si>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</si>
  <si>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</si>
  <si>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</si>
  <si>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</si>
  <si>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</si>
  <si>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</si>
  <si>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</si>
  <si>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</si>
  <si>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</si>
  <si>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</si>
  <si>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</si>
  <si>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</si>
  <si>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</si>
  <si>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</si>
  <si>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</si>
  <si>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</si>
  <si>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</si>
  <si>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</si>
  <si>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</si>
  <si>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</si>
  <si>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</si>
  <si>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</si>
  <si>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</si>
  <si>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</si>
  <si>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</si>
  <si>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</si>
  <si>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</si>
  <si>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</si>
  <si>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</si>
  <si>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</si>
  <si>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</si>
  <si>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</si>
  <si>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</si>
  <si>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</si>
  <si>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</si>
  <si>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</si>
  <si>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</si>
  <si>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</si>
  <si>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</si>
  <si>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</si>
  <si>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</si>
  <si>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</si>
  <si>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</si>
  <si>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</si>
  <si>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</si>
  <si>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</si>
  <si>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</si>
  <si>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</si>
  <si>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</si>
  <si>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</si>
  <si>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</si>
  <si>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</si>
  <si>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</si>
  <si>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</si>
  <si>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</si>
  <si>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</si>
  <si>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</si>
  <si>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</si>
  <si>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</si>
  <si>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</si>
  <si>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</si>
  <si>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</si>
  <si>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</si>
  <si>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</si>
  <si>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</si>
  <si>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</si>
  <si>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</si>
  <si>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</si>
  <si>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</si>
  <si>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</si>
  <si>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</si>
  <si>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</si>
  <si>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</si>
  <si>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</si>
  <si>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</si>
  <si>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</si>
  <si>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</si>
  <si>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</si>
  <si>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</si>
  <si>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</si>
  <si>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</si>
  <si>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</si>
  <si>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</si>
  <si>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</si>
  <si>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</si>
  <si>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</si>
  <si>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</si>
  <si>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</si>
  <si>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</si>
  <si>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</si>
  <si>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</si>
  <si>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</si>
  <si>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</si>
  <si>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</si>
  <si>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</si>
  <si>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</si>
  <si>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</si>
  <si>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</si>
  <si>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</si>
  <si>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</si>
  <si>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</si>
  <si>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</si>
  <si>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</si>
  <si>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</si>
  <si>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</si>
  <si>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</si>
  <si>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</si>
  <si>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</si>
  <si>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</si>
  <si>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</si>
  <si>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</si>
  <si>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</si>
  <si>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</si>
  <si>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</si>
  <si>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</si>
  <si>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</si>
  <si>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</si>
  <si>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</si>
  <si>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</si>
  <si>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</si>
  <si>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</si>
  <si>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</si>
  <si>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</si>
  <si>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</si>
  <si>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</si>
  <si>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</si>
  <si>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</si>
  <si>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</si>
  <si>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</si>
  <si>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</si>
  <si>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</si>
  <si>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</si>
  <si>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</si>
  <si>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</si>
  <si>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</si>
  <si>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</si>
  <si>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</si>
  <si>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</si>
  <si>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</si>
  <si>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</si>
  <si>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</si>
  <si>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</si>
  <si>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</si>
  <si>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</si>
  <si>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</si>
  <si>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</si>
  <si>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</si>
  <si>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</si>
  <si>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</si>
  <si>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</si>
  <si>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</si>
  <si>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</si>
  <si>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</si>
  <si>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</si>
  <si>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</si>
  <si>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</si>
  <si>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</si>
  <si>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</si>
  <si>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</si>
  <si>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</si>
  <si>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</si>
  <si>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</si>
  <si>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</si>
  <si>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</si>
  <si>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</si>
  <si>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</si>
  <si>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</si>
  <si>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</si>
  <si>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</si>
  <si>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</si>
  <si>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</si>
  <si>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</si>
  <si>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</si>
  <si>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</si>
  <si>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</si>
  <si>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</si>
  <si>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</si>
  <si>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</si>
  <si>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</si>
  <si>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</si>
  <si>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</si>
  <si>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</si>
  <si>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</si>
  <si>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</si>
  <si>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</si>
  <si>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</si>
  <si>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</si>
  <si>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</si>
  <si>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</si>
  <si>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</si>
  <si>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</si>
  <si>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</si>
  <si>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</si>
  <si>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</si>
  <si>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</si>
  <si>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</si>
  <si>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</si>
  <si>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</si>
  <si>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</si>
  <si>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</si>
  <si>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</si>
  <si>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</si>
  <si>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</si>
  <si>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</si>
  <si>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</si>
  <si>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</si>
  <si>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</si>
  <si>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</si>
  <si>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</si>
  <si>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</si>
  <si>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</si>
  <si>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</si>
  <si>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</si>
  <si>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</si>
  <si>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</si>
  <si>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</si>
  <si>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</si>
  <si>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</si>
  <si>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</si>
  <si>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</si>
  <si>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</si>
  <si>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</si>
  <si>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</si>
  <si>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</si>
  <si>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</si>
  <si>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</si>
  <si>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</si>
  <si>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</si>
  <si>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</si>
  <si>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</si>
  <si>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</si>
  <si>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</si>
  <si>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</si>
  <si>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</si>
  <si>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</si>
  <si>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</si>
  <si>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</si>
  <si>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</si>
  <si>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</si>
  <si>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</si>
  <si>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</si>
  <si>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</si>
  <si>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</si>
  <si>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</si>
  <si>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</si>
  <si>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</si>
  <si>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</si>
  <si>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</si>
  <si>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</si>
  <si>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</si>
  <si>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</si>
  <si>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</si>
  <si>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</si>
  <si>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</si>
  <si>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</si>
  <si>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</si>
  <si>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</si>
  <si>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</si>
  <si>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</si>
  <si>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</si>
  <si>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</si>
  <si>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</si>
  <si>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</si>
  <si>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</si>
  <si>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</si>
  <si>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</si>
  <si>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</si>
  <si>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</si>
  <si>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</si>
  <si>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</si>
  <si>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</si>
  <si>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</si>
  <si>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</si>
  <si>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</si>
  <si>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</si>
  <si>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</si>
  <si>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</si>
  <si>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</si>
  <si>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</si>
  <si>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</si>
  <si>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</si>
  <si>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</si>
  <si>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</si>
  <si>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</si>
  <si>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</si>
  <si>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</si>
  <si>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</si>
  <si>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</si>
  <si>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</si>
  <si>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</si>
  <si>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</si>
  <si>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</si>
  <si>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</si>
  <si>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</si>
  <si>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</si>
  <si>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</si>
  <si>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</si>
  <si>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</si>
  <si>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</si>
  <si>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</si>
  <si>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</si>
  <si>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</si>
  <si>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</si>
  <si>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</si>
  <si>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</si>
  <si>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</si>
  <si>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</si>
  <si>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</si>
  <si>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</si>
  <si>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</si>
  <si>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</si>
  <si>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</si>
  <si>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</si>
  <si>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</si>
  <si>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</si>
  <si>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</si>
  <si>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</si>
  <si>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</si>
  <si>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</si>
  <si>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</si>
  <si>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</si>
  <si>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</si>
  <si>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</si>
  <si>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</si>
  <si>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</si>
  <si>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</si>
  <si>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</si>
  <si>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</si>
  <si>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</si>
  <si>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</si>
  <si>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</si>
  <si>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</si>
  <si>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</si>
  <si>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</si>
  <si>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</si>
  <si>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</si>
  <si>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</si>
  <si>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</si>
  <si>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</si>
  <si>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</si>
  <si>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</si>
  <si>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</si>
  <si>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</si>
  <si>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</si>
  <si>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</si>
  <si>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</si>
  <si>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</si>
  <si>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</si>
  <si>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</si>
  <si>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</si>
  <si>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</si>
  <si>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</si>
  <si>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</si>
  <si>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</si>
  <si>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</si>
  <si>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</si>
  <si>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</si>
  <si>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</si>
  <si>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</si>
  <si>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</si>
  <si>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</si>
  <si>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</si>
  <si>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</si>
  <si>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</si>
  <si>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</si>
  <si>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</si>
  <si>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</si>
  <si>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</si>
  <si>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</si>
  <si>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</si>
  <si>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</si>
  <si>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</si>
  <si>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</si>
  <si>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</si>
  <si>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</si>
  <si>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</si>
  <si>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</si>
  <si>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</si>
  <si>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</si>
  <si>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</si>
  <si>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</si>
  <si>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</si>
  <si>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</si>
  <si>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</si>
  <si>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</si>
  <si>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</si>
  <si>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</si>
  <si>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</si>
  <si>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</si>
  <si>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</si>
  <si>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</si>
  <si>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</si>
  <si>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</si>
  <si>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</si>
  <si>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</si>
  <si>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</si>
  <si>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</si>
  <si>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</si>
  <si>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</si>
  <si>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</si>
  <si>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</si>
  <si>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</si>
  <si>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</si>
  <si>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</si>
  <si>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</si>
  <si>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</si>
  <si>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</si>
  <si>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</si>
  <si>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</si>
  <si>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</si>
  <si>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</si>
  <si>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</si>
  <si>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</si>
  <si>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</si>
  <si>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</si>
  <si>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</si>
  <si>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</si>
  <si>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</si>
  <si>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</si>
  <si>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</si>
  <si>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</si>
  <si>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</si>
  <si>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</si>
  <si>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</si>
  <si>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</si>
  <si>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</si>
  <si>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</si>
  <si>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</si>
  <si>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</si>
  <si>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</si>
  <si>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</si>
  <si>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</si>
  <si>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</si>
  <si>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</si>
  <si>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</si>
  <si>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</si>
  <si>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</si>
  <si>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</si>
  <si>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</si>
  <si>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</si>
  <si>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</si>
  <si>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</si>
  <si>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</si>
  <si>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</si>
  <si>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</si>
  <si>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</si>
  <si>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</si>
  <si>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</si>
  <si>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</si>
  <si>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</si>
  <si>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</si>
  <si>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</si>
  <si>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</si>
  <si>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</si>
  <si>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</si>
  <si>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</si>
  <si>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</si>
  <si>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</si>
  <si>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</si>
  <si>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</si>
  <si>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</si>
  <si>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</si>
  <si>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</si>
  <si>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</si>
  <si>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</si>
  <si>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</si>
  <si>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</si>
  <si>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</si>
  <si>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</si>
  <si>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</si>
  <si>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</si>
  <si>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</si>
  <si>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</si>
  <si>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</si>
  <si>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</si>
  <si>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</si>
  <si>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</si>
  <si>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</si>
  <si>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</si>
  <si>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</si>
  <si>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</si>
  <si>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</si>
  <si>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</si>
  <si>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</si>
  <si>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</si>
  <si>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</si>
  <si>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</si>
  <si>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</si>
  <si>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</si>
  <si>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</si>
  <si>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</si>
  <si>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</si>
  <si>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</si>
  <si>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</si>
  <si>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</si>
  <si>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</si>
  <si>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</si>
  <si>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</si>
  <si>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</si>
  <si>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</si>
  <si>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</si>
  <si>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</si>
  <si>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</si>
  <si>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</si>
  <si>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</si>
  <si>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</si>
  <si>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</si>
  <si>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</si>
  <si>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</si>
  <si>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</si>
  <si>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</si>
  <si>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</si>
  <si>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</si>
  <si>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</si>
  <si>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</si>
  <si>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</si>
  <si>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</si>
  <si>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</si>
  <si>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</si>
  <si>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</si>
  <si>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</si>
  <si>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</si>
  <si>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</si>
  <si>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</si>
  <si>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</si>
  <si>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</si>
  <si>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</si>
  <si>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</si>
  <si>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</si>
  <si>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</si>
  <si>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</si>
  <si>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</si>
  <si>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</si>
  <si>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</si>
  <si>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</si>
  <si>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</si>
  <si>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</si>
  <si>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</si>
  <si>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</si>
  <si>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</si>
  <si>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</si>
  <si>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</si>
  <si>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</si>
  <si>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</si>
  <si>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</si>
  <si>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</si>
  <si>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</si>
  <si>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</si>
  <si>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</si>
  <si>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</si>
  <si>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</si>
  <si>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</si>
  <si>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</si>
  <si>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</si>
  <si>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</si>
  <si>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</si>
  <si>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</si>
  <si>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</si>
  <si>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</si>
  <si>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</si>
  <si>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</si>
  <si>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</si>
  <si>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</si>
  <si>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</si>
  <si>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</si>
  <si>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</si>
  <si>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</si>
  <si>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</si>
  <si>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</si>
  <si>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</si>
  <si>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</si>
  <si>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</si>
  <si>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</si>
  <si>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</si>
  <si>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</si>
  <si>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</si>
  <si>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</si>
  <si>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</si>
  <si>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</si>
  <si>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</si>
  <si>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</si>
  <si>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</si>
  <si>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</si>
  <si>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</si>
  <si>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</si>
  <si>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</si>
  <si>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</si>
  <si>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</si>
  <si>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</si>
  <si>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</si>
  <si>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</si>
  <si>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</si>
  <si>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</si>
  <si>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</si>
  <si>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</si>
  <si>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</si>
  <si>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</si>
  <si>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</si>
  <si>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</si>
  <si>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</si>
  <si>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</si>
  <si>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</si>
  <si>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</si>
  <si>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</si>
  <si>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</si>
  <si>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</si>
  <si>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</si>
  <si>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</si>
  <si>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</si>
  <si>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</si>
  <si>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</si>
  <si>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</si>
  <si>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</si>
  <si>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</si>
  <si>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</si>
  <si>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</si>
  <si>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</si>
  <si>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</si>
  <si>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</si>
  <si>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</si>
  <si>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</si>
  <si>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</si>
  <si>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</si>
  <si>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</si>
  <si>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</si>
  <si>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</si>
  <si>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</si>
  <si>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</si>
  <si>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</si>
  <si>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</si>
  <si>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</si>
  <si>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</si>
  <si>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</si>
  <si>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</si>
  <si>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</si>
  <si>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</si>
  <si>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</si>
  <si>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</si>
  <si>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</si>
  <si>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</si>
  <si>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</si>
  <si>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</si>
  <si>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</si>
  <si>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</si>
  <si>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</si>
  <si>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</si>
  <si>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</si>
  <si>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</si>
  <si>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</si>
  <si>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</si>
  <si>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</si>
  <si>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</si>
  <si>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</si>
  <si>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</si>
  <si>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</si>
  <si>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</si>
  <si>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</si>
  <si>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</si>
  <si>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</si>
  <si>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</si>
  <si>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</si>
  <si>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</si>
  <si>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</si>
  <si>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</si>
  <si>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</si>
  <si>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</si>
  <si>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</si>
  <si>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</si>
  <si>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</si>
  <si>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Nyírfa utcai projekt (adósságkonsz)</t>
  </si>
  <si>
    <t>Nagyparkoló T jelű belterületi út építáése, forgalomtechnika (adósságkonsz)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</si>
  <si>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</si>
  <si>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</si>
  <si>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</si>
  <si>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</si>
  <si>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</si>
  <si>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</si>
  <si>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</si>
  <si>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</si>
  <si>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</si>
  <si>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</si>
  <si>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</si>
  <si>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</si>
  <si>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</si>
  <si>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</si>
  <si>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</si>
  <si>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</si>
  <si>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</si>
  <si>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</si>
  <si>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</si>
  <si>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</si>
  <si>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</si>
  <si>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</si>
  <si>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</si>
  <si>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</si>
  <si>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</si>
  <si>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</si>
  <si>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</si>
  <si>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</si>
  <si>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</si>
  <si>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</si>
  <si>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</si>
  <si>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</si>
  <si>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</si>
  <si>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</si>
  <si>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</si>
  <si>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</si>
  <si>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</si>
  <si>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</si>
  <si>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</si>
  <si>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</si>
  <si>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</si>
  <si>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</si>
  <si>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</si>
  <si>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</si>
  <si>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</si>
  <si>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</si>
  <si>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</si>
  <si>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</si>
  <si>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</si>
  <si>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</si>
  <si>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</si>
  <si>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</si>
  <si>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</si>
  <si>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</si>
  <si>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</si>
  <si>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</si>
  <si>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</si>
  <si>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</si>
  <si>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</si>
  <si>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</si>
  <si>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</si>
  <si>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</si>
  <si>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</si>
  <si>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</si>
  <si>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</si>
  <si>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</si>
  <si>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</si>
  <si>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</si>
  <si>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</si>
  <si>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</si>
  <si>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</si>
  <si>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</si>
  <si>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</si>
  <si>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</si>
  <si>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</si>
  <si>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</si>
  <si>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</si>
  <si>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</si>
  <si>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</si>
  <si>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</si>
  <si>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</si>
  <si>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</si>
  <si>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</si>
  <si>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</si>
  <si>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</si>
  <si>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</si>
  <si>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</si>
  <si>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</si>
  <si>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</si>
  <si>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</si>
  <si>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</si>
  <si>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</si>
  <si>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</si>
  <si>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</si>
  <si>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</si>
  <si>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</si>
  <si>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</si>
  <si>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</si>
  <si>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</si>
  <si>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</si>
  <si>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</si>
  <si>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</si>
  <si>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</si>
  <si>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</si>
  <si>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</si>
  <si>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</si>
  <si>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</si>
  <si>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</si>
  <si>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</si>
  <si>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</si>
  <si>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</si>
  <si>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</si>
  <si>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</si>
  <si>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</si>
  <si>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</si>
  <si>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</si>
  <si>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</si>
  <si>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</si>
  <si>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</si>
  <si>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</si>
  <si>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</si>
  <si>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</si>
  <si>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</si>
  <si>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</si>
  <si>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</si>
  <si>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</si>
  <si>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</si>
  <si>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</si>
  <si>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</si>
  <si>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</si>
  <si>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</si>
  <si>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</si>
  <si>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</si>
  <si>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</si>
  <si>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</si>
  <si>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</si>
  <si>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</si>
  <si>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</si>
  <si>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</si>
  <si>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</si>
  <si>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</si>
  <si>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</si>
  <si>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</si>
  <si>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</si>
  <si>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</si>
  <si>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</si>
  <si>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</si>
  <si>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</si>
  <si>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</si>
  <si>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</si>
  <si>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</si>
  <si>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</si>
  <si>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</si>
  <si>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</si>
  <si>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</si>
  <si>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</si>
  <si>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</si>
  <si>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</si>
  <si>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</si>
  <si>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</si>
  <si>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</si>
  <si>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</si>
  <si>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</si>
  <si>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</si>
  <si>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</si>
  <si>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</si>
  <si>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</si>
  <si>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</si>
  <si>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</si>
  <si>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</si>
  <si>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</si>
  <si>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</si>
  <si>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</si>
  <si>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</si>
  <si>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</si>
  <si>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</si>
  <si>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</si>
  <si>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</si>
  <si>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 xml:space="preserve">Piac tervezési módosítás (Pályázatban nem elszámolható! 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</si>
  <si>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</si>
  <si>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</si>
  <si>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</si>
  <si>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</si>
  <si>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előirányzat összesen 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</si>
  <si>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</si>
  <si>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</si>
  <si>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</si>
  <si>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</si>
  <si>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</si>
  <si>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</si>
  <si>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</si>
  <si>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</si>
  <si>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</si>
  <si>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</si>
  <si>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</si>
  <si>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</si>
  <si>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</si>
  <si>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</si>
  <si>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</si>
  <si>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</si>
  <si>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</si>
  <si>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</si>
  <si>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</si>
  <si>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</si>
  <si>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</si>
  <si>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</si>
  <si>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</si>
  <si>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</si>
  <si>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</si>
  <si>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</si>
  <si>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</si>
  <si>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</si>
  <si>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</si>
  <si>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4. melléklete</t>
  </si>
  <si>
    <t>2/2018. (I. 25.) önkormányzati rendelet 5.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</si>
  <si>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</si>
  <si>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</si>
  <si>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</si>
  <si>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</si>
  <si>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</si>
  <si>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</si>
  <si>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</si>
  <si>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</si>
  <si>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</si>
  <si>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</si>
  <si>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</si>
  <si>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</si>
  <si>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</si>
  <si>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</si>
  <si>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</si>
  <si>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</si>
  <si>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</si>
  <si>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</si>
  <si>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</si>
  <si>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</si>
  <si>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</si>
  <si>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</si>
  <si>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</si>
  <si>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</si>
  <si>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</si>
  <si>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</si>
  <si>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</si>
  <si>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</si>
  <si>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</si>
  <si>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</si>
  <si>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</si>
  <si>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</si>
  <si>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</si>
  <si>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</si>
  <si>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</si>
  <si>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</si>
  <si>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</si>
  <si>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</si>
  <si>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</si>
  <si>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</si>
  <si>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</si>
  <si>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</si>
  <si>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</si>
  <si>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</si>
  <si>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</si>
  <si>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 xml:space="preserve">2. melléklet a 16/2018. (IV. 26.) rendelethez, 1/1. melléklet a 2/2018. (I. 25.) önkormányzati rendelethez </t>
  </si>
  <si>
    <t xml:space="preserve">3. melléklet a 16/2018. (IV. 26.) rendelethez, 1/2. melléklet a 2/2018. (I. 25.) önkormányzati rendelethez </t>
  </si>
  <si>
    <t xml:space="preserve">4. melléklet a 16/2018. (IV. 26.) rendelethez, 1/4. melléklet a 2/2018. (I. 25.) önkormányzati rendelethez </t>
  </si>
  <si>
    <t xml:space="preserve">5. melléklet a 16/2018. (IV. 26.) rendelethez, 1/5. melléklet a 2/2018. (I. 25.) önkormányzati rendelethez </t>
  </si>
  <si>
    <t xml:space="preserve">6. melléklet a 16/2018. (IV. 26.) rendelethez, 1/6. melléklet a 2/2018. (I. 25.) önkormányzati rendelethez </t>
  </si>
  <si>
    <t xml:space="preserve">7. melléklet a 16/2018. (IV. 26.) rendelethez, 1/7. melléklet a 2/2018. (I. 25.) önkormányzati rendelethez </t>
  </si>
  <si>
    <t xml:space="preserve">8. melléklet a 16/2018. (IV. 26.) rendelethez, 1/8. melléklet a 2/2018. (I. 25.) önkormányzati rendelethez </t>
  </si>
  <si>
    <t xml:space="preserve">9. melléklet a 16/2018. (IV. 26.) rendelethez, 1/9. melléklet a 2/2018. (I. 25.) önkormányzati rendelethez </t>
  </si>
  <si>
    <t xml:space="preserve">12. melléklet a 16/2018. (IV. 26.) rendelethez, 2/2. melléklet a 2/2018. (I. 25.) önkormányzati rendelethez </t>
  </si>
  <si>
    <t xml:space="preserve">13. melléklet a 16/2018. (IV. 26.) rendelethez, 2/3. melléklet a 2/2018. (I. 25.) önkormányzati rendelethez </t>
  </si>
  <si>
    <t>Módosító Összeg</t>
  </si>
  <si>
    <t>2018. ….-i emódosított előirányyzat</t>
  </si>
  <si>
    <t xml:space="preserve">2018. IV. 27-i évi előirányzat </t>
  </si>
  <si>
    <t xml:space="preserve">2018.IV.27-i módosított bevételi terv  </t>
  </si>
  <si>
    <t xml:space="preserve">2018. IV.27-i módosítottévi bevételi előirányzat </t>
  </si>
  <si>
    <t xml:space="preserve">2018. IV.27-i módosított bevételi előirányzat </t>
  </si>
  <si>
    <t xml:space="preserve">2018. IV.27-i módósított előirányzat </t>
  </si>
  <si>
    <t>2018. IV.27-i mód ei</t>
  </si>
  <si>
    <t>Mód ö</t>
  </si>
  <si>
    <t>Módosított ei</t>
  </si>
  <si>
    <t>2018. IV. 27-i  mód.terv</t>
  </si>
  <si>
    <t xml:space="preserve">2018. IV.27-i előirányzat </t>
  </si>
  <si>
    <t>2018. IV.27-i előirányzat</t>
  </si>
  <si>
    <t xml:space="preserve">2018. IV.27-i mód  előirányzat </t>
  </si>
  <si>
    <t>2018. IV.27-i mód  előirányzat</t>
  </si>
  <si>
    <t>Mód kötelező ei</t>
  </si>
  <si>
    <t>Mód nem kötelező ei</t>
  </si>
  <si>
    <t>2018. IV 27-i ei</t>
  </si>
  <si>
    <t>Mód összeg</t>
  </si>
  <si>
    <t>Mód ei</t>
  </si>
  <si>
    <t xml:space="preserve">2018. IV. 27-i mód  előirányzat </t>
  </si>
  <si>
    <t xml:space="preserve">2018. IV.27. mód. előirányzat </t>
  </si>
  <si>
    <t>Tárgyi eszköz beszerzés (Klimatizálás-Szt. András 2 szint folyosójának, 2 db elektromos ágy, 1db ipari mosogatógép)</t>
  </si>
  <si>
    <t xml:space="preserve">T/5. </t>
  </si>
  <si>
    <t xml:space="preserve">      5.1. Immateriális javak értékesítése </t>
  </si>
  <si>
    <t xml:space="preserve">T/4. </t>
  </si>
  <si>
    <t>T/3.</t>
  </si>
  <si>
    <t>T/2.</t>
  </si>
  <si>
    <t xml:space="preserve">T/1/2. </t>
  </si>
  <si>
    <t>T/1/1.</t>
  </si>
  <si>
    <t>Módosító összeg</t>
  </si>
  <si>
    <t xml:space="preserve">    2. Felhalmozási célú támogatások államháztartáson belülről</t>
  </si>
  <si>
    <t xml:space="preserve">       2.1.  Felhalmozási célú önk-i támogatások (B21)</t>
  </si>
  <si>
    <t xml:space="preserve">       2.5. Egyéb felhalmozási célú támogatás Áht-n belülről (B25)</t>
  </si>
  <si>
    <t>T/1.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</si>
</sst>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5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sz val="6"/>
      <color indexed="8"/>
      <name val="Arial"/>
      <family val="2"/>
      <charset val="238"/>
    </font>
    <font>
      <b/>
      <sz val="11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/>
      <diagonal/>
    </border>
    <border>
      <left style="thin">
        <color indexed="64"/>
      </left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702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0" fontId="61" fillId="0" borderId="0" xfId="78" applyFont="1"/>
    <xf numFmtId="0" fontId="30" fillId="0" borderId="0" xfId="78" applyFont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57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7" fillId="0" borderId="0" xfId="0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5" fillId="0" borderId="0" xfId="0" applyNumberFormat="1" applyFont="1" applyBorder="1"/>
    <xf numFmtId="0" fontId="34" fillId="0" borderId="0" xfId="0" applyFont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6" fillId="0" borderId="0" xfId="71" applyFont="1" applyAlignment="1">
      <alignment vertical="center"/>
    </xf>
    <xf numFmtId="3" fontId="75" fillId="0" borderId="30" xfId="71" applyNumberFormat="1" applyFont="1" applyFill="1" applyBorder="1" applyAlignment="1">
      <alignment horizontal="center" vertical="center" wrapText="1"/>
    </xf>
    <xf numFmtId="0" fontId="56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2" xfId="0" applyNumberFormat="1" applyFont="1" applyBorder="1" applyAlignment="1">
      <alignment horizontal="center" vertical="center"/>
    </xf>
    <xf numFmtId="3" fontId="64" fillId="0" borderId="33" xfId="0" applyNumberFormat="1" applyFont="1" applyBorder="1" applyAlignment="1">
      <alignment horizontal="center" vertical="center" wrapText="1"/>
    </xf>
    <xf numFmtId="3" fontId="64" fillId="0" borderId="34" xfId="0" applyNumberFormat="1" applyFont="1" applyBorder="1" applyAlignment="1">
      <alignment horizontal="center" vertical="center" wrapText="1"/>
    </xf>
    <xf numFmtId="0" fontId="57" fillId="0" borderId="22" xfId="0" applyFont="1" applyBorder="1" applyAlignment="1">
      <alignment horizontal="right"/>
    </xf>
    <xf numFmtId="0" fontId="57" fillId="0" borderId="0" xfId="0" applyFont="1" applyFill="1" applyBorder="1"/>
    <xf numFmtId="3" fontId="57" fillId="0" borderId="35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2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1" xfId="0" applyNumberFormat="1" applyFont="1" applyFill="1" applyBorder="1"/>
    <xf numFmtId="0" fontId="57" fillId="0" borderId="36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7" xfId="0" applyNumberFormat="1" applyFont="1" applyBorder="1" applyAlignment="1">
      <alignment horizontal="center" vertical="center" wrapText="1"/>
    </xf>
    <xf numFmtId="0" fontId="43" fillId="0" borderId="25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5" xfId="0" applyNumberFormat="1" applyFont="1" applyBorder="1"/>
    <xf numFmtId="3" fontId="44" fillId="0" borderId="25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2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wrapText="1"/>
    </xf>
    <xf numFmtId="0" fontId="48" fillId="0" borderId="23" xfId="0" applyFont="1" applyBorder="1"/>
    <xf numFmtId="0" fontId="50" fillId="0" borderId="23" xfId="0" applyFont="1" applyBorder="1" applyAlignment="1">
      <alignment horizontal="right"/>
    </xf>
    <xf numFmtId="0" fontId="54" fillId="0" borderId="23" xfId="0" applyFont="1" applyBorder="1" applyAlignment="1">
      <alignment horizontal="right"/>
    </xf>
    <xf numFmtId="0" fontId="48" fillId="0" borderId="23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3" xfId="0" applyFont="1" applyBorder="1"/>
    <xf numFmtId="0" fontId="55" fillId="0" borderId="23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3" xfId="71" applyNumberFormat="1" applyFont="1" applyFill="1" applyBorder="1" applyAlignment="1">
      <alignment horizontal="center" vertical="center" wrapText="1"/>
    </xf>
    <xf numFmtId="3" fontId="75" fillId="0" borderId="44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6" xfId="0" applyFont="1" applyBorder="1" applyAlignment="1">
      <alignment wrapText="1"/>
    </xf>
    <xf numFmtId="0" fontId="22" fillId="0" borderId="45" xfId="0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 applyAlignment="1">
      <alignment horizontal="center" vertical="center"/>
    </xf>
    <xf numFmtId="3" fontId="59" fillId="0" borderId="31" xfId="0" applyNumberFormat="1" applyFont="1" applyBorder="1"/>
    <xf numFmtId="0" fontId="83" fillId="0" borderId="0" xfId="0" applyFont="1"/>
    <xf numFmtId="3" fontId="64" fillId="0" borderId="48" xfId="0" applyNumberFormat="1" applyFont="1" applyBorder="1" applyAlignment="1">
      <alignment horizontal="center" vertical="center" wrapText="1"/>
    </xf>
    <xf numFmtId="3" fontId="64" fillId="0" borderId="49" xfId="0" applyNumberFormat="1" applyFont="1" applyBorder="1" applyAlignment="1">
      <alignment horizontal="center" vertical="center"/>
    </xf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 applyAlignment="1">
      <alignment horizontal="right" vertical="center" wrapText="1"/>
    </xf>
    <xf numFmtId="3" fontId="64" fillId="0" borderId="54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5" xfId="0" applyNumberFormat="1" applyFont="1" applyBorder="1" applyAlignment="1">
      <alignment horizontal="right"/>
    </xf>
    <xf numFmtId="3" fontId="59" fillId="0" borderId="56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5" fillId="0" borderId="16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7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58" xfId="0" applyNumberFormat="1" applyFont="1" applyFill="1" applyBorder="1"/>
    <xf numFmtId="3" fontId="64" fillId="0" borderId="59" xfId="0" applyNumberFormat="1" applyFont="1" applyBorder="1"/>
    <xf numFmtId="3" fontId="39" fillId="0" borderId="0" xfId="0" applyNumberFormat="1" applyFont="1" applyAlignment="1">
      <alignment horizontal="right"/>
    </xf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3" xfId="72" applyNumberFormat="1" applyFont="1" applyBorder="1" applyAlignment="1">
      <alignment horizontal="center"/>
    </xf>
    <xf numFmtId="0" fontId="100" fillId="0" borderId="23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3" xfId="72" applyNumberFormat="1" applyFont="1" applyBorder="1" applyAlignment="1"/>
    <xf numFmtId="3" fontId="105" fillId="0" borderId="0" xfId="0" applyNumberFormat="1" applyFont="1"/>
    <xf numFmtId="3" fontId="57" fillId="0" borderId="60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3" xfId="73" applyFont="1" applyBorder="1" applyAlignment="1">
      <alignment horizontal="center"/>
    </xf>
    <xf numFmtId="0" fontId="53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58" fillId="0" borderId="60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3" fillId="0" borderId="23" xfId="0" applyNumberFormat="1" applyFont="1" applyBorder="1"/>
    <xf numFmtId="0" fontId="53" fillId="0" borderId="23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1" xfId="0" applyNumberFormat="1" applyFont="1" applyBorder="1"/>
    <xf numFmtId="3" fontId="58" fillId="0" borderId="0" xfId="0" applyNumberFormat="1" applyFont="1" applyFill="1" applyBorder="1"/>
    <xf numFmtId="3" fontId="59" fillId="0" borderId="63" xfId="0" applyNumberFormat="1" applyFont="1" applyBorder="1"/>
    <xf numFmtId="3" fontId="64" fillId="0" borderId="64" xfId="0" applyNumberFormat="1" applyFont="1" applyBorder="1" applyAlignment="1">
      <alignment horizontal="right" vertical="center" wrapText="1"/>
    </xf>
    <xf numFmtId="3" fontId="64" fillId="0" borderId="65" xfId="0" applyNumberFormat="1" applyFont="1" applyBorder="1" applyAlignment="1">
      <alignment horizontal="center" vertical="center" wrapText="1"/>
    </xf>
    <xf numFmtId="0" fontId="48" fillId="0" borderId="27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0" fontId="57" fillId="0" borderId="0" xfId="0" applyFont="1" applyBorder="1" applyAlignment="1">
      <alignment horizontal="left"/>
    </xf>
    <xf numFmtId="3" fontId="57" fillId="0" borderId="21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6" xfId="0" applyFont="1" applyFill="1" applyBorder="1" applyAlignment="1"/>
    <xf numFmtId="3" fontId="57" fillId="0" borderId="66" xfId="0" applyNumberFormat="1" applyFont="1" applyFill="1" applyBorder="1"/>
    <xf numFmtId="3" fontId="57" fillId="0" borderId="60" xfId="0" applyNumberFormat="1" applyFont="1" applyBorder="1" applyAlignment="1">
      <alignment horizontal="center" vertical="center" wrapText="1"/>
    </xf>
    <xf numFmtId="3" fontId="64" fillId="0" borderId="60" xfId="0" applyNumberFormat="1" applyFont="1" applyBorder="1"/>
    <xf numFmtId="3" fontId="59" fillId="0" borderId="60" xfId="0" applyNumberFormat="1" applyFont="1" applyBorder="1"/>
    <xf numFmtId="3" fontId="64" fillId="0" borderId="67" xfId="0" applyNumberFormat="1" applyFont="1" applyFill="1" applyBorder="1"/>
    <xf numFmtId="3" fontId="64" fillId="0" borderId="55" xfId="0" applyNumberFormat="1" applyFont="1" applyBorder="1" applyAlignment="1">
      <alignment horizontal="right" vertical="center" wrapText="1"/>
    </xf>
    <xf numFmtId="0" fontId="64" fillId="0" borderId="68" xfId="0" applyFont="1" applyFill="1" applyBorder="1" applyAlignment="1"/>
    <xf numFmtId="3" fontId="64" fillId="0" borderId="47" xfId="0" applyNumberFormat="1" applyFont="1" applyFill="1" applyBorder="1"/>
    <xf numFmtId="3" fontId="64" fillId="0" borderId="58" xfId="0" applyNumberFormat="1" applyFont="1" applyBorder="1"/>
    <xf numFmtId="3" fontId="64" fillId="0" borderId="69" xfId="0" applyNumberFormat="1" applyFont="1" applyBorder="1"/>
    <xf numFmtId="3" fontId="64" fillId="0" borderId="70" xfId="0" applyNumberFormat="1" applyFont="1" applyBorder="1"/>
    <xf numFmtId="3" fontId="64" fillId="0" borderId="60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165" fontId="48" fillId="0" borderId="27" xfId="0" applyNumberFormat="1" applyFont="1" applyBorder="1" applyAlignment="1">
      <alignment horizontal="right"/>
    </xf>
    <xf numFmtId="3" fontId="25" fillId="0" borderId="71" xfId="78" applyNumberFormat="1" applyFont="1" applyBorder="1" applyAlignment="1">
      <alignment horizontal="center" vertical="center"/>
    </xf>
    <xf numFmtId="3" fontId="59" fillId="0" borderId="58" xfId="0" applyNumberFormat="1" applyFont="1" applyFill="1" applyBorder="1"/>
    <xf numFmtId="3" fontId="59" fillId="0" borderId="69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5" fillId="0" borderId="23" xfId="71" applyNumberFormat="1" applyFont="1" applyFill="1" applyBorder="1" applyAlignment="1">
      <alignment vertical="center" wrapText="1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5" xfId="71" applyFont="1" applyBorder="1" applyAlignment="1">
      <alignment vertical="center"/>
    </xf>
    <xf numFmtId="3" fontId="22" fillId="0" borderId="45" xfId="71" applyNumberFormat="1" applyFont="1" applyFill="1" applyBorder="1" applyAlignment="1">
      <alignment vertical="center"/>
    </xf>
    <xf numFmtId="0" fontId="32" fillId="0" borderId="45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64" xfId="0" applyFont="1" applyBorder="1"/>
    <xf numFmtId="0" fontId="57" fillId="0" borderId="60" xfId="0" applyFont="1" applyBorder="1"/>
    <xf numFmtId="0" fontId="57" fillId="0" borderId="62" xfId="0" applyFont="1" applyBorder="1"/>
    <xf numFmtId="3" fontId="64" fillId="0" borderId="62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0" fontId="28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5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2" fillId="0" borderId="21" xfId="71" applyFont="1" applyBorder="1" applyAlignment="1">
      <alignment vertical="center" wrapText="1"/>
    </xf>
    <xf numFmtId="0" fontId="106" fillId="0" borderId="21" xfId="71" applyFont="1" applyBorder="1" applyAlignment="1">
      <alignment horizontal="center" vertical="center" wrapText="1"/>
    </xf>
    <xf numFmtId="0" fontId="33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7" fillId="0" borderId="21" xfId="71" applyFont="1" applyBorder="1" applyAlignment="1">
      <alignment vertical="center" wrapText="1"/>
    </xf>
    <xf numFmtId="0" fontId="23" fillId="0" borderId="21" xfId="0" applyFont="1" applyBorder="1"/>
    <xf numFmtId="0" fontId="20" fillId="0" borderId="21" xfId="0" applyFont="1" applyBorder="1"/>
    <xf numFmtId="0" fontId="53" fillId="0" borderId="2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3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3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100" fillId="0" borderId="23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21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7" fillId="0" borderId="23" xfId="71" applyNumberFormat="1" applyFont="1" applyFill="1" applyBorder="1" applyAlignment="1">
      <alignment vertical="center"/>
    </xf>
    <xf numFmtId="0" fontId="120" fillId="0" borderId="23" xfId="71" applyFont="1" applyBorder="1" applyAlignment="1">
      <alignment vertical="center"/>
    </xf>
    <xf numFmtId="4" fontId="120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21" fillId="0" borderId="23" xfId="71" applyNumberFormat="1" applyFont="1" applyFill="1" applyBorder="1" applyAlignment="1">
      <alignment vertical="center"/>
    </xf>
    <xf numFmtId="3" fontId="128" fillId="0" borderId="23" xfId="71" applyNumberFormat="1" applyFont="1" applyFill="1" applyBorder="1" applyAlignment="1">
      <alignment vertical="center" wrapText="1"/>
    </xf>
    <xf numFmtId="0" fontId="120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21" fillId="0" borderId="23" xfId="71" applyNumberFormat="1" applyFont="1" applyFill="1" applyBorder="1" applyAlignment="1">
      <alignment vertical="center"/>
    </xf>
    <xf numFmtId="165" fontId="121" fillId="0" borderId="23" xfId="71" applyNumberFormat="1" applyFont="1" applyFill="1" applyBorder="1" applyAlignment="1">
      <alignment vertical="center"/>
    </xf>
    <xf numFmtId="168" fontId="121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Border="1" applyAlignment="1">
      <alignment vertical="center"/>
    </xf>
    <xf numFmtId="3" fontId="121" fillId="0" borderId="23" xfId="71" applyNumberFormat="1" applyFont="1" applyBorder="1" applyAlignment="1">
      <alignment horizontal="right" vertical="center"/>
    </xf>
    <xf numFmtId="165" fontId="121" fillId="0" borderId="23" xfId="71" applyNumberFormat="1" applyFont="1" applyBorder="1" applyAlignment="1">
      <alignment vertical="center"/>
    </xf>
    <xf numFmtId="0" fontId="129" fillId="0" borderId="23" xfId="75" applyFont="1" applyBorder="1" applyAlignment="1">
      <alignment vertical="center"/>
    </xf>
    <xf numFmtId="3" fontId="121" fillId="0" borderId="23" xfId="75" applyNumberFormat="1" applyFont="1" applyBorder="1" applyAlignment="1">
      <alignment vertical="center"/>
    </xf>
    <xf numFmtId="0" fontId="110" fillId="0" borderId="23" xfId="71" applyFont="1" applyBorder="1" applyAlignment="1">
      <alignment vertical="center" wrapText="1"/>
    </xf>
    <xf numFmtId="9" fontId="121" fillId="0" borderId="23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 wrapText="1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0" fontId="110" fillId="0" borderId="78" xfId="71" applyFont="1" applyFill="1" applyBorder="1" applyAlignment="1">
      <alignment vertical="center"/>
    </xf>
    <xf numFmtId="3" fontId="130" fillId="0" borderId="58" xfId="71" applyNumberFormat="1" applyFont="1" applyFill="1" applyBorder="1" applyAlignment="1">
      <alignment vertical="center"/>
    </xf>
    <xf numFmtId="3" fontId="130" fillId="0" borderId="69" xfId="71" applyNumberFormat="1" applyFont="1" applyFill="1" applyBorder="1" applyAlignment="1">
      <alignment vertical="center"/>
    </xf>
    <xf numFmtId="3" fontId="130" fillId="0" borderId="31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79" xfId="0" applyFont="1" applyBorder="1"/>
    <xf numFmtId="0" fontId="50" fillId="0" borderId="79" xfId="0" applyFont="1" applyBorder="1" applyAlignment="1">
      <alignment horizontal="right"/>
    </xf>
    <xf numFmtId="0" fontId="54" fillId="0" borderId="79" xfId="0" applyFont="1" applyBorder="1" applyAlignment="1">
      <alignment horizontal="right"/>
    </xf>
    <xf numFmtId="0" fontId="48" fillId="0" borderId="79" xfId="0" applyFont="1" applyBorder="1" applyAlignment="1">
      <alignment horizontal="right"/>
    </xf>
    <xf numFmtId="4" fontId="48" fillId="0" borderId="79" xfId="0" applyNumberFormat="1" applyFont="1" applyBorder="1" applyAlignment="1">
      <alignment horizontal="right"/>
    </xf>
    <xf numFmtId="0" fontId="48" fillId="0" borderId="42" xfId="0" applyFont="1" applyBorder="1" applyAlignment="1">
      <alignment shrinkToFit="1"/>
    </xf>
    <xf numFmtId="0" fontId="54" fillId="0" borderId="76" xfId="0" applyFont="1" applyBorder="1"/>
    <xf numFmtId="0" fontId="55" fillId="0" borderId="76" xfId="0" applyFont="1" applyBorder="1" applyAlignment="1">
      <alignment horizontal="right"/>
    </xf>
    <xf numFmtId="0" fontId="54" fillId="0" borderId="76" xfId="0" applyFont="1" applyBorder="1" applyAlignment="1">
      <alignment horizontal="right"/>
    </xf>
    <xf numFmtId="0" fontId="48" fillId="0" borderId="76" xfId="0" applyFont="1" applyBorder="1" applyAlignment="1">
      <alignment horizontal="right"/>
    </xf>
    <xf numFmtId="0" fontId="48" fillId="0" borderId="77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4" xfId="71" applyFont="1" applyBorder="1" applyAlignment="1">
      <alignment vertical="center" wrapText="1"/>
    </xf>
    <xf numFmtId="0" fontId="31" fillId="0" borderId="24" xfId="71" applyFont="1" applyBorder="1" applyAlignment="1">
      <alignment vertical="center" wrapText="1"/>
    </xf>
    <xf numFmtId="3" fontId="31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3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3" xfId="71" applyFont="1" applyBorder="1" applyAlignment="1">
      <alignment vertical="center"/>
    </xf>
    <xf numFmtId="2" fontId="121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 wrapText="1"/>
    </xf>
    <xf numFmtId="0" fontId="134" fillId="0" borderId="23" xfId="71" applyFont="1" applyBorder="1" applyAlignment="1">
      <alignment vertical="center"/>
    </xf>
    <xf numFmtId="3" fontId="121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28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43" fillId="0" borderId="0" xfId="0" applyFont="1" applyBorder="1" applyAlignment="1">
      <alignment horizontal="left"/>
    </xf>
    <xf numFmtId="0" fontId="43" fillId="0" borderId="60" xfId="0" applyFont="1" applyBorder="1"/>
    <xf numFmtId="0" fontId="43" fillId="0" borderId="60" xfId="0" applyFont="1" applyFill="1" applyBorder="1" applyAlignment="1">
      <alignment horizontal="left" wrapText="1"/>
    </xf>
    <xf numFmtId="0" fontId="44" fillId="0" borderId="25" xfId="0" applyFont="1" applyBorder="1"/>
    <xf numFmtId="0" fontId="44" fillId="0" borderId="39" xfId="0" applyFont="1" applyBorder="1"/>
    <xf numFmtId="3" fontId="44" fillId="0" borderId="31" xfId="0" applyNumberFormat="1" applyFont="1" applyBorder="1"/>
    <xf numFmtId="0" fontId="20" fillId="0" borderId="12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2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165" fontId="43" fillId="0" borderId="0" xfId="0" applyNumberFormat="1" applyFont="1"/>
    <xf numFmtId="0" fontId="58" fillId="0" borderId="60" xfId="0" applyFont="1" applyBorder="1"/>
    <xf numFmtId="0" fontId="82" fillId="0" borderId="60" xfId="0" applyFont="1" applyBorder="1"/>
    <xf numFmtId="0" fontId="33" fillId="0" borderId="0" xfId="0" applyFont="1" applyBorder="1"/>
    <xf numFmtId="3" fontId="64" fillId="0" borderId="73" xfId="0" applyNumberFormat="1" applyFont="1" applyBorder="1" applyAlignment="1">
      <alignment horizontal="center" vertical="center" wrapText="1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3" fontId="31" fillId="0" borderId="24" xfId="0" applyNumberFormat="1" applyFont="1" applyBorder="1"/>
    <xf numFmtId="0" fontId="110" fillId="0" borderId="31" xfId="0" applyFont="1" applyBorder="1" applyAlignment="1">
      <alignment wrapText="1"/>
    </xf>
    <xf numFmtId="3" fontId="110" fillId="0" borderId="31" xfId="0" applyNumberFormat="1" applyFont="1" applyBorder="1"/>
    <xf numFmtId="3" fontId="48" fillId="0" borderId="23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3" fontId="134" fillId="0" borderId="23" xfId="71" applyNumberFormat="1" applyFont="1" applyBorder="1" applyAlignment="1">
      <alignment vertical="center"/>
    </xf>
    <xf numFmtId="3" fontId="143" fillId="0" borderId="23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3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3" xfId="71" applyNumberFormat="1" applyFont="1" applyBorder="1" applyAlignment="1">
      <alignment vertical="center" wrapText="1"/>
    </xf>
    <xf numFmtId="165" fontId="147" fillId="0" borderId="23" xfId="71" applyNumberFormat="1" applyFont="1" applyBorder="1" applyAlignment="1">
      <alignment vertical="center"/>
    </xf>
    <xf numFmtId="167" fontId="147" fillId="0" borderId="23" xfId="71" applyNumberFormat="1" applyFont="1" applyBorder="1" applyAlignment="1">
      <alignment vertical="center"/>
    </xf>
    <xf numFmtId="4" fontId="147" fillId="0" borderId="23" xfId="71" applyNumberFormat="1" applyFont="1" applyBorder="1" applyAlignment="1">
      <alignment vertical="center"/>
    </xf>
    <xf numFmtId="3" fontId="149" fillId="0" borderId="23" xfId="71" applyNumberFormat="1" applyFont="1" applyFill="1" applyBorder="1" applyAlignment="1">
      <alignment vertical="center"/>
    </xf>
    <xf numFmtId="3" fontId="147" fillId="0" borderId="23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0" fontId="44" fillId="0" borderId="0" xfId="0" applyFont="1" applyAlignment="1">
      <alignment vertical="center" wrapText="1"/>
    </xf>
    <xf numFmtId="0" fontId="44" fillId="0" borderId="38" xfId="0" applyFont="1" applyBorder="1"/>
    <xf numFmtId="0" fontId="43" fillId="0" borderId="38" xfId="0" applyFont="1" applyBorder="1"/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2" xfId="0" applyFont="1" applyBorder="1"/>
    <xf numFmtId="3" fontId="26" fillId="0" borderId="79" xfId="0" applyNumberFormat="1" applyFont="1" applyBorder="1"/>
    <xf numFmtId="3" fontId="26" fillId="0" borderId="84" xfId="0" applyNumberFormat="1" applyFont="1" applyBorder="1"/>
    <xf numFmtId="0" fontId="53" fillId="0" borderId="79" xfId="0" applyFont="1" applyBorder="1"/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31" fillId="0" borderId="23" xfId="71" applyNumberFormat="1" applyFont="1" applyBorder="1" applyAlignment="1">
      <alignment horizontal="right" vertical="center" wrapText="1"/>
    </xf>
    <xf numFmtId="0" fontId="23" fillId="0" borderId="60" xfId="0" applyFont="1" applyBorder="1"/>
    <xf numFmtId="0" fontId="22" fillId="0" borderId="103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5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/>
    </xf>
    <xf numFmtId="0" fontId="43" fillId="0" borderId="45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3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3" xfId="72" applyFont="1" applyBorder="1" applyAlignment="1">
      <alignment horizontal="center"/>
    </xf>
    <xf numFmtId="0" fontId="100" fillId="0" borderId="23" xfId="72" applyFont="1" applyFill="1" applyBorder="1" applyAlignment="1">
      <alignment horizontal="center"/>
    </xf>
    <xf numFmtId="0" fontId="100" fillId="0" borderId="23" xfId="72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3" xfId="72" applyFont="1" applyBorder="1" applyAlignment="1">
      <alignment horizontal="center" wrapText="1"/>
    </xf>
    <xf numFmtId="49" fontId="100" fillId="0" borderId="23" xfId="72" applyNumberFormat="1" applyFont="1" applyFill="1" applyBorder="1" applyAlignment="1">
      <alignment horizontal="center" wrapText="1"/>
    </xf>
    <xf numFmtId="0" fontId="100" fillId="0" borderId="23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98" fillId="0" borderId="15" xfId="0" applyFont="1" applyBorder="1" applyAlignment="1">
      <alignment wrapText="1"/>
    </xf>
    <xf numFmtId="0" fontId="100" fillId="0" borderId="23" xfId="0" applyFont="1" applyBorder="1"/>
    <xf numFmtId="0" fontId="101" fillId="0" borderId="23" xfId="0" applyFont="1" applyBorder="1" applyAlignment="1">
      <alignment horizontal="right"/>
    </xf>
    <xf numFmtId="0" fontId="98" fillId="0" borderId="23" xfId="0" applyFont="1" applyBorder="1" applyAlignment="1">
      <alignment horizontal="right"/>
    </xf>
    <xf numFmtId="0" fontId="100" fillId="0" borderId="23" xfId="0" applyFont="1" applyBorder="1" applyAlignment="1">
      <alignment horizontal="right"/>
    </xf>
    <xf numFmtId="165" fontId="100" fillId="0" borderId="23" xfId="0" applyNumberFormat="1" applyFont="1" applyBorder="1" applyAlignment="1">
      <alignment horizontal="right"/>
    </xf>
    <xf numFmtId="1" fontId="100" fillId="0" borderId="23" xfId="0" applyNumberFormat="1" applyFont="1" applyBorder="1" applyAlignment="1">
      <alignment horizontal="right"/>
    </xf>
    <xf numFmtId="167" fontId="100" fillId="0" borderId="23" xfId="0" applyNumberFormat="1" applyFont="1" applyBorder="1" applyAlignment="1">
      <alignment horizontal="right"/>
    </xf>
    <xf numFmtId="0" fontId="61" fillId="0" borderId="0" xfId="78" applyFont="1" applyBorder="1"/>
    <xf numFmtId="0" fontId="41" fillId="0" borderId="0" xfId="0" applyFont="1" applyBorder="1"/>
    <xf numFmtId="3" fontId="25" fillId="0" borderId="31" xfId="0" applyNumberFormat="1" applyFont="1" applyBorder="1"/>
    <xf numFmtId="3" fontId="25" fillId="0" borderId="80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 wrapText="1"/>
    </xf>
    <xf numFmtId="3" fontId="69" fillId="0" borderId="23" xfId="0" applyNumberFormat="1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/>
    </xf>
    <xf numFmtId="3" fontId="69" fillId="0" borderId="48" xfId="0" applyNumberFormat="1" applyFont="1" applyBorder="1" applyAlignment="1">
      <alignment horizontal="center" vertical="center" wrapText="1"/>
    </xf>
    <xf numFmtId="3" fontId="69" fillId="0" borderId="40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64" fillId="0" borderId="23" xfId="0" applyFont="1" applyBorder="1"/>
    <xf numFmtId="3" fontId="25" fillId="0" borderId="23" xfId="0" applyNumberFormat="1" applyFont="1" applyBorder="1"/>
    <xf numFmtId="3" fontId="64" fillId="0" borderId="23" xfId="0" applyNumberFormat="1" applyFont="1" applyBorder="1"/>
    <xf numFmtId="3" fontId="28" fillId="0" borderId="23" xfId="0" applyNumberFormat="1" applyFont="1" applyBorder="1"/>
    <xf numFmtId="0" fontId="28" fillId="0" borderId="23" xfId="0" applyFont="1" applyBorder="1"/>
    <xf numFmtId="0" fontId="35" fillId="0" borderId="23" xfId="0" applyFont="1" applyBorder="1"/>
    <xf numFmtId="0" fontId="57" fillId="0" borderId="23" xfId="0" applyFont="1" applyBorder="1"/>
    <xf numFmtId="3" fontId="58" fillId="0" borderId="23" xfId="0" applyNumberFormat="1" applyFont="1" applyBorder="1"/>
    <xf numFmtId="3" fontId="58" fillId="0" borderId="23" xfId="74" applyNumberFormat="1" applyFont="1" applyBorder="1"/>
    <xf numFmtId="3" fontId="35" fillId="0" borderId="23" xfId="0" applyNumberFormat="1" applyFont="1" applyBorder="1"/>
    <xf numFmtId="0" fontId="38" fillId="0" borderId="23" xfId="0" applyFont="1" applyBorder="1"/>
    <xf numFmtId="0" fontId="66" fillId="0" borderId="23" xfId="0" applyFont="1" applyBorder="1"/>
    <xf numFmtId="3" fontId="140" fillId="0" borderId="23" xfId="0" applyNumberFormat="1" applyFont="1" applyBorder="1"/>
    <xf numFmtId="3" fontId="39" fillId="0" borderId="23" xfId="0" applyNumberFormat="1" applyFont="1" applyBorder="1"/>
    <xf numFmtId="3" fontId="59" fillId="0" borderId="23" xfId="0" applyNumberFormat="1" applyFont="1" applyBorder="1"/>
    <xf numFmtId="3" fontId="30" fillId="0" borderId="23" xfId="0" applyNumberFormat="1" applyFont="1" applyBorder="1"/>
    <xf numFmtId="0" fontId="34" fillId="0" borderId="23" xfId="0" applyFont="1" applyBorder="1"/>
    <xf numFmtId="0" fontId="25" fillId="0" borderId="23" xfId="0" applyFont="1" applyBorder="1"/>
    <xf numFmtId="0" fontId="30" fillId="0" borderId="23" xfId="0" applyFont="1" applyBorder="1"/>
    <xf numFmtId="0" fontId="25" fillId="0" borderId="23" xfId="0" applyFont="1" applyBorder="1" applyAlignment="1">
      <alignment wrapText="1"/>
    </xf>
    <xf numFmtId="3" fontId="57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wrapText="1"/>
    </xf>
    <xf numFmtId="0" fontId="28" fillId="0" borderId="23" xfId="0" applyFont="1" applyBorder="1" applyAlignment="1">
      <alignment horizontal="center" vertical="center"/>
    </xf>
    <xf numFmtId="0" fontId="28" fillId="0" borderId="23" xfId="0" applyFont="1" applyBorder="1" applyAlignment="1">
      <alignment wrapText="1"/>
    </xf>
    <xf numFmtId="3" fontId="57" fillId="0" borderId="23" xfId="0" applyNumberFormat="1" applyFont="1" applyBorder="1"/>
    <xf numFmtId="3" fontId="59" fillId="0" borderId="23" xfId="0" applyNumberFormat="1" applyFont="1" applyBorder="1" applyAlignment="1">
      <alignment wrapText="1"/>
    </xf>
    <xf numFmtId="0" fontId="28" fillId="0" borderId="24" xfId="0" applyFont="1" applyBorder="1" applyAlignment="1">
      <alignment horizontal="center"/>
    </xf>
    <xf numFmtId="0" fontId="25" fillId="0" borderId="24" xfId="0" applyFont="1" applyBorder="1"/>
    <xf numFmtId="3" fontId="59" fillId="0" borderId="24" xfId="0" applyNumberFormat="1" applyFont="1" applyBorder="1"/>
    <xf numFmtId="3" fontId="30" fillId="0" borderId="24" xfId="0" applyNumberFormat="1" applyFont="1" applyBorder="1"/>
    <xf numFmtId="0" fontId="28" fillId="0" borderId="24" xfId="0" applyFont="1" applyBorder="1"/>
    <xf numFmtId="0" fontId="35" fillId="0" borderId="24" xfId="0" applyFont="1" applyBorder="1"/>
    <xf numFmtId="0" fontId="28" fillId="0" borderId="105" xfId="0" applyFont="1" applyBorder="1" applyAlignment="1">
      <alignment horizontal="center"/>
    </xf>
    <xf numFmtId="0" fontId="25" fillId="0" borderId="31" xfId="0" applyFont="1" applyBorder="1"/>
    <xf numFmtId="3" fontId="30" fillId="0" borderId="31" xfId="0" applyNumberFormat="1" applyFont="1" applyBorder="1"/>
    <xf numFmtId="3" fontId="30" fillId="0" borderId="31" xfId="0" applyNumberFormat="1" applyFont="1" applyFill="1" applyBorder="1"/>
    <xf numFmtId="0" fontId="28" fillId="0" borderId="31" xfId="0" applyFont="1" applyBorder="1"/>
    <xf numFmtId="0" fontId="35" fillId="0" borderId="56" xfId="0" applyFont="1" applyBorder="1"/>
    <xf numFmtId="0" fontId="30" fillId="0" borderId="48" xfId="0" applyFont="1" applyBorder="1" applyAlignment="1">
      <alignment horizontal="center" vertical="center"/>
    </xf>
    <xf numFmtId="3" fontId="93" fillId="0" borderId="48" xfId="0" applyNumberFormat="1" applyFont="1" applyBorder="1" applyAlignment="1">
      <alignment horizontal="center" vertical="center" wrapText="1"/>
    </xf>
    <xf numFmtId="3" fontId="93" fillId="0" borderId="40" xfId="0" applyNumberFormat="1" applyFont="1" applyBorder="1" applyAlignment="1">
      <alignment horizontal="center" vertical="center" wrapText="1"/>
    </xf>
    <xf numFmtId="3" fontId="30" fillId="0" borderId="80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center"/>
    </xf>
    <xf numFmtId="0" fontId="59" fillId="0" borderId="23" xfId="0" applyFont="1" applyBorder="1"/>
    <xf numFmtId="0" fontId="58" fillId="0" borderId="23" xfId="0" applyFont="1" applyBorder="1"/>
    <xf numFmtId="0" fontId="138" fillId="0" borderId="23" xfId="0" applyFont="1" applyBorder="1"/>
    <xf numFmtId="0" fontId="39" fillId="0" borderId="23" xfId="0" applyFont="1" applyBorder="1"/>
    <xf numFmtId="3" fontId="138" fillId="0" borderId="23" xfId="74" applyNumberFormat="1" applyFont="1" applyBorder="1"/>
    <xf numFmtId="0" fontId="35" fillId="0" borderId="23" xfId="0" applyFont="1" applyBorder="1" applyAlignment="1">
      <alignment horizontal="center" vertical="center"/>
    </xf>
    <xf numFmtId="0" fontId="30" fillId="0" borderId="23" xfId="0" applyFont="1" applyBorder="1" applyAlignment="1">
      <alignment wrapText="1"/>
    </xf>
    <xf numFmtId="0" fontId="35" fillId="0" borderId="23" xfId="0" applyFont="1" applyBorder="1" applyAlignment="1">
      <alignment wrapText="1"/>
    </xf>
    <xf numFmtId="3" fontId="66" fillId="0" borderId="23" xfId="0" applyNumberFormat="1" applyFont="1" applyBorder="1"/>
    <xf numFmtId="0" fontId="35" fillId="0" borderId="24" xfId="0" applyFont="1" applyBorder="1" applyAlignment="1">
      <alignment horizontal="center" vertical="center"/>
    </xf>
    <xf numFmtId="0" fontId="30" fillId="0" borderId="24" xfId="0" applyFont="1" applyBorder="1"/>
    <xf numFmtId="0" fontId="35" fillId="0" borderId="105" xfId="0" applyFont="1" applyBorder="1" applyAlignment="1">
      <alignment horizontal="center" vertical="center"/>
    </xf>
    <xf numFmtId="0" fontId="30" fillId="0" borderId="31" xfId="0" applyFont="1" applyBorder="1"/>
    <xf numFmtId="0" fontId="28" fillId="0" borderId="56" xfId="0" applyFont="1" applyBorder="1"/>
    <xf numFmtId="3" fontId="69" fillId="0" borderId="24" xfId="0" applyNumberFormat="1" applyFont="1" applyBorder="1" applyAlignment="1">
      <alignment horizontal="center" vertical="center" wrapText="1"/>
    </xf>
    <xf numFmtId="3" fontId="57" fillId="0" borderId="23" xfId="74" applyNumberFormat="1" applyFont="1" applyBorder="1"/>
    <xf numFmtId="3" fontId="68" fillId="0" borderId="23" xfId="0" applyNumberFormat="1" applyFont="1" applyBorder="1"/>
    <xf numFmtId="3" fontId="38" fillId="0" borderId="23" xfId="0" applyNumberFormat="1" applyFont="1" applyBorder="1"/>
    <xf numFmtId="0" fontId="68" fillId="0" borderId="23" xfId="0" applyFont="1" applyBorder="1"/>
    <xf numFmtId="3" fontId="34" fillId="0" borderId="23" xfId="0" applyNumberFormat="1" applyFont="1" applyBorder="1"/>
    <xf numFmtId="3" fontId="25" fillId="0" borderId="23" xfId="0" applyNumberFormat="1" applyFont="1" applyFill="1" applyBorder="1"/>
    <xf numFmtId="3" fontId="122" fillId="0" borderId="23" xfId="0" applyNumberFormat="1" applyFont="1" applyBorder="1"/>
    <xf numFmtId="3" fontId="64" fillId="0" borderId="23" xfId="0" applyNumberFormat="1" applyFont="1" applyBorder="1" applyAlignment="1">
      <alignment wrapText="1"/>
    </xf>
    <xf numFmtId="3" fontId="64" fillId="0" borderId="24" xfId="0" applyNumberFormat="1" applyFont="1" applyBorder="1"/>
    <xf numFmtId="3" fontId="25" fillId="0" borderId="24" xfId="0" applyNumberFormat="1" applyFont="1" applyBorder="1"/>
    <xf numFmtId="3" fontId="25" fillId="0" borderId="31" xfId="0" applyNumberFormat="1" applyFont="1" applyFill="1" applyBorder="1"/>
    <xf numFmtId="0" fontId="24" fillId="0" borderId="48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3" fontId="29" fillId="0" borderId="23" xfId="0" applyNumberFormat="1" applyFont="1" applyBorder="1" applyAlignment="1">
      <alignment horizontal="center" vertical="center" wrapText="1"/>
    </xf>
    <xf numFmtId="0" fontId="23" fillId="0" borderId="23" xfId="0" applyFont="1" applyBorder="1"/>
    <xf numFmtId="0" fontId="81" fillId="0" borderId="23" xfId="0" applyFont="1" applyBorder="1"/>
    <xf numFmtId="0" fontId="24" fillId="0" borderId="23" xfId="0" applyFont="1" applyBorder="1"/>
    <xf numFmtId="0" fontId="22" fillId="0" borderId="23" xfId="0" applyFont="1" applyBorder="1"/>
    <xf numFmtId="3" fontId="22" fillId="0" borderId="23" xfId="0" applyNumberFormat="1" applyFont="1" applyBorder="1"/>
    <xf numFmtId="0" fontId="22" fillId="0" borderId="23" xfId="0" applyFont="1" applyFill="1" applyBorder="1" applyAlignment="1">
      <alignment wrapText="1"/>
    </xf>
    <xf numFmtId="3" fontId="23" fillId="0" borderId="23" xfId="0" applyNumberFormat="1" applyFont="1" applyBorder="1"/>
    <xf numFmtId="0" fontId="121" fillId="0" borderId="23" xfId="0" applyFont="1" applyBorder="1"/>
    <xf numFmtId="9" fontId="22" fillId="0" borderId="23" xfId="0" applyNumberFormat="1" applyFont="1" applyBorder="1" applyAlignment="1">
      <alignment horizontal="left"/>
    </xf>
    <xf numFmtId="0" fontId="83" fillId="0" borderId="23" xfId="0" applyFont="1" applyBorder="1"/>
    <xf numFmtId="10" fontId="22" fillId="0" borderId="23" xfId="0" applyNumberFormat="1" applyFont="1" applyBorder="1"/>
    <xf numFmtId="0" fontId="22" fillId="0" borderId="23" xfId="0" applyFont="1" applyBorder="1" applyAlignment="1">
      <alignment wrapText="1"/>
    </xf>
    <xf numFmtId="9" fontId="22" fillId="0" borderId="23" xfId="0" applyNumberFormat="1" applyFont="1" applyBorder="1"/>
    <xf numFmtId="10" fontId="23" fillId="0" borderId="23" xfId="0" applyNumberFormat="1" applyFont="1" applyBorder="1"/>
    <xf numFmtId="0" fontId="22" fillId="0" borderId="24" xfId="0" applyFont="1" applyBorder="1"/>
    <xf numFmtId="9" fontId="22" fillId="0" borderId="24" xfId="0" applyNumberFormat="1" applyFont="1" applyBorder="1" applyAlignment="1">
      <alignment horizontal="left"/>
    </xf>
    <xf numFmtId="3" fontId="23" fillId="0" borderId="24" xfId="0" applyNumberFormat="1" applyFont="1" applyBorder="1"/>
    <xf numFmtId="0" fontId="23" fillId="0" borderId="24" xfId="0" applyFont="1" applyBorder="1"/>
    <xf numFmtId="3" fontId="23" fillId="0" borderId="45" xfId="0" applyNumberFormat="1" applyFont="1" applyBorder="1"/>
    <xf numFmtId="0" fontId="23" fillId="0" borderId="45" xfId="0" applyFont="1" applyBorder="1"/>
    <xf numFmtId="0" fontId="24" fillId="0" borderId="105" xfId="0" applyFont="1" applyBorder="1"/>
    <xf numFmtId="9" fontId="22" fillId="0" borderId="31" xfId="0" applyNumberFormat="1" applyFont="1" applyBorder="1" applyAlignment="1">
      <alignment horizontal="left"/>
    </xf>
    <xf numFmtId="3" fontId="26" fillId="0" borderId="31" xfId="0" applyNumberFormat="1" applyFont="1" applyBorder="1"/>
    <xf numFmtId="0" fontId="23" fillId="0" borderId="31" xfId="0" applyFont="1" applyBorder="1"/>
    <xf numFmtId="0" fontId="23" fillId="0" borderId="56" xfId="0" applyFont="1" applyBorder="1"/>
    <xf numFmtId="10" fontId="22" fillId="0" borderId="24" xfId="0" applyNumberFormat="1" applyFont="1" applyBorder="1"/>
    <xf numFmtId="0" fontId="22" fillId="0" borderId="31" xfId="0" applyFont="1" applyBorder="1"/>
    <xf numFmtId="3" fontId="26" fillId="0" borderId="31" xfId="0" applyNumberFormat="1" applyFont="1" applyFill="1" applyBorder="1"/>
    <xf numFmtId="0" fontId="24" fillId="0" borderId="25" xfId="0" applyFont="1" applyBorder="1"/>
    <xf numFmtId="10" fontId="22" fillId="0" borderId="25" xfId="0" applyNumberFormat="1" applyFont="1" applyBorder="1"/>
    <xf numFmtId="3" fontId="23" fillId="0" borderId="25" xfId="0" applyNumberFormat="1" applyFont="1" applyBorder="1"/>
    <xf numFmtId="0" fontId="23" fillId="0" borderId="25" xfId="0" applyFont="1" applyBorder="1"/>
    <xf numFmtId="10" fontId="22" fillId="0" borderId="31" xfId="0" applyNumberFormat="1" applyFont="1" applyBorder="1"/>
    <xf numFmtId="0" fontId="22" fillId="0" borderId="24" xfId="0" applyFont="1" applyBorder="1" applyAlignment="1">
      <alignment vertical="top"/>
    </xf>
    <xf numFmtId="10" fontId="22" fillId="0" borderId="24" xfId="0" applyNumberFormat="1" applyFont="1" applyBorder="1" applyAlignment="1">
      <alignment wrapText="1"/>
    </xf>
    <xf numFmtId="0" fontId="24" fillId="0" borderId="45" xfId="0" applyFont="1" applyBorder="1"/>
    <xf numFmtId="10" fontId="22" fillId="0" borderId="45" xfId="0" applyNumberFormat="1" applyFont="1" applyBorder="1"/>
    <xf numFmtId="9" fontId="22" fillId="0" borderId="25" xfId="0" applyNumberFormat="1" applyFont="1" applyBorder="1" applyAlignment="1">
      <alignment horizontal="left"/>
    </xf>
    <xf numFmtId="0" fontId="109" fillId="0" borderId="105" xfId="0" applyFont="1" applyFill="1" applyBorder="1"/>
    <xf numFmtId="10" fontId="23" fillId="0" borderId="31" xfId="0" applyNumberFormat="1" applyFont="1" applyFill="1" applyBorder="1" applyAlignment="1">
      <alignment horizontal="left"/>
    </xf>
    <xf numFmtId="0" fontId="83" fillId="0" borderId="31" xfId="0" applyFont="1" applyBorder="1"/>
    <xf numFmtId="0" fontId="83" fillId="0" borderId="56" xfId="0" applyFont="1" applyBorder="1"/>
    <xf numFmtId="0" fontId="77" fillId="0" borderId="23" xfId="0" applyFont="1" applyBorder="1" applyAlignment="1">
      <alignment horizontal="left" vertical="center"/>
    </xf>
    <xf numFmtId="0" fontId="33" fillId="0" borderId="23" xfId="0" applyFont="1" applyBorder="1"/>
    <xf numFmtId="0" fontId="36" fillId="0" borderId="23" xfId="0" applyFont="1" applyBorder="1"/>
    <xf numFmtId="0" fontId="34" fillId="0" borderId="23" xfId="0" applyFont="1" applyBorder="1" applyAlignment="1">
      <alignment horizontal="left" vertical="center"/>
    </xf>
    <xf numFmtId="3" fontId="28" fillId="25" borderId="23" xfId="0" applyNumberFormat="1" applyFont="1" applyFill="1" applyBorder="1"/>
    <xf numFmtId="0" fontId="28" fillId="0" borderId="23" xfId="0" applyFont="1" applyBorder="1" applyAlignment="1">
      <alignment horizontal="left" vertical="center"/>
    </xf>
    <xf numFmtId="0" fontId="28" fillId="0" borderId="23" xfId="0" applyFont="1" applyBorder="1" applyAlignment="1">
      <alignment horizontal="left"/>
    </xf>
    <xf numFmtId="0" fontId="77" fillId="0" borderId="23" xfId="0" applyFont="1" applyBorder="1"/>
    <xf numFmtId="0" fontId="25" fillId="0" borderId="24" xfId="0" applyFont="1" applyBorder="1" applyAlignment="1">
      <alignment horizontal="left" vertical="center"/>
    </xf>
    <xf numFmtId="3" fontId="35" fillId="0" borderId="24" xfId="0" applyNumberFormat="1" applyFont="1" applyBorder="1"/>
    <xf numFmtId="3" fontId="28" fillId="0" borderId="24" xfId="0" applyNumberFormat="1" applyFont="1" applyBorder="1"/>
    <xf numFmtId="0" fontId="33" fillId="0" borderId="24" xfId="0" applyFont="1" applyBorder="1"/>
    <xf numFmtId="0" fontId="28" fillId="0" borderId="45" xfId="0" applyFont="1" applyBorder="1" applyAlignment="1">
      <alignment horizontal="center"/>
    </xf>
    <xf numFmtId="0" fontId="34" fillId="0" borderId="45" xfId="0" applyFont="1" applyBorder="1" applyAlignment="1">
      <alignment horizontal="left" vertical="center"/>
    </xf>
    <xf numFmtId="3" fontId="28" fillId="25" borderId="45" xfId="0" applyNumberFormat="1" applyFont="1" applyFill="1" applyBorder="1"/>
    <xf numFmtId="0" fontId="36" fillId="0" borderId="45" xfId="0" applyFont="1" applyBorder="1"/>
    <xf numFmtId="0" fontId="25" fillId="0" borderId="31" xfId="0" applyFont="1" applyBorder="1" applyAlignment="1">
      <alignment horizontal="left" vertical="center"/>
    </xf>
    <xf numFmtId="0" fontId="36" fillId="0" borderId="31" xfId="0" applyFont="1" applyBorder="1"/>
    <xf numFmtId="0" fontId="36" fillId="0" borderId="56" xfId="0" applyFont="1" applyBorder="1"/>
    <xf numFmtId="0" fontId="36" fillId="0" borderId="24" xfId="0" applyFont="1" applyBorder="1"/>
    <xf numFmtId="3" fontId="25" fillId="0" borderId="45" xfId="0" applyNumberFormat="1" applyFont="1" applyBorder="1"/>
    <xf numFmtId="0" fontId="25" fillId="0" borderId="105" xfId="0" applyFont="1" applyBorder="1" applyAlignment="1">
      <alignment horizontal="left" vertical="center"/>
    </xf>
    <xf numFmtId="3" fontId="137" fillId="0" borderId="31" xfId="0" applyNumberFormat="1" applyFont="1" applyBorder="1"/>
    <xf numFmtId="0" fontId="28" fillId="0" borderId="45" xfId="0" applyFont="1" applyBorder="1" applyAlignment="1">
      <alignment horizontal="left" vertical="center"/>
    </xf>
    <xf numFmtId="3" fontId="28" fillId="0" borderId="45" xfId="0" applyNumberFormat="1" applyFont="1" applyBorder="1"/>
    <xf numFmtId="0" fontId="33" fillId="0" borderId="45" xfId="0" applyFont="1" applyBorder="1"/>
    <xf numFmtId="0" fontId="28" fillId="0" borderId="68" xfId="0" applyFont="1" applyBorder="1" applyAlignment="1">
      <alignment horizontal="center"/>
    </xf>
    <xf numFmtId="0" fontId="34" fillId="0" borderId="31" xfId="0" applyFont="1" applyBorder="1" applyAlignment="1">
      <alignment horizontal="left" vertical="center"/>
    </xf>
    <xf numFmtId="0" fontId="33" fillId="0" borderId="31" xfId="0" applyFont="1" applyBorder="1"/>
    <xf numFmtId="0" fontId="33" fillId="0" borderId="56" xfId="0" applyFont="1" applyBorder="1"/>
    <xf numFmtId="0" fontId="28" fillId="0" borderId="24" xfId="0" applyFont="1" applyBorder="1" applyAlignment="1">
      <alignment horizontal="left" vertical="center"/>
    </xf>
    <xf numFmtId="0" fontId="28" fillId="0" borderId="45" xfId="0" applyFont="1" applyBorder="1"/>
    <xf numFmtId="0" fontId="28" fillId="0" borderId="24" xfId="0" applyFont="1" applyBorder="1" applyAlignment="1">
      <alignment wrapText="1"/>
    </xf>
    <xf numFmtId="0" fontId="34" fillId="0" borderId="31" xfId="0" applyFont="1" applyBorder="1" applyAlignment="1">
      <alignment wrapText="1"/>
    </xf>
    <xf numFmtId="0" fontId="28" fillId="0" borderId="25" xfId="0" applyFont="1" applyBorder="1" applyAlignment="1">
      <alignment horizontal="center"/>
    </xf>
    <xf numFmtId="0" fontId="28" fillId="0" borderId="25" xfId="0" applyFont="1" applyBorder="1" applyAlignment="1">
      <alignment wrapText="1"/>
    </xf>
    <xf numFmtId="3" fontId="28" fillId="0" borderId="25" xfId="0" applyNumberFormat="1" applyFont="1" applyBorder="1"/>
    <xf numFmtId="0" fontId="33" fillId="0" borderId="25" xfId="0" applyFont="1" applyBorder="1"/>
    <xf numFmtId="0" fontId="25" fillId="0" borderId="45" xfId="0" applyFont="1" applyBorder="1"/>
    <xf numFmtId="0" fontId="25" fillId="0" borderId="25" xfId="0" applyFont="1" applyBorder="1"/>
    <xf numFmtId="3" fontId="25" fillId="0" borderId="25" xfId="0" applyNumberFormat="1" applyFont="1" applyBorder="1"/>
    <xf numFmtId="3" fontId="30" fillId="0" borderId="45" xfId="0" applyNumberFormat="1" applyFont="1" applyBorder="1"/>
    <xf numFmtId="0" fontId="25" fillId="0" borderId="31" xfId="0" applyFont="1" applyBorder="1" applyAlignment="1">
      <alignment horizontal="left"/>
    </xf>
    <xf numFmtId="0" fontId="35" fillId="0" borderId="31" xfId="0" applyFont="1" applyBorder="1"/>
    <xf numFmtId="0" fontId="25" fillId="0" borderId="48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wrapText="1"/>
    </xf>
    <xf numFmtId="0" fontId="80" fillId="0" borderId="23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62" fillId="0" borderId="23" xfId="0" applyFont="1" applyBorder="1" applyAlignment="1">
      <alignment wrapText="1"/>
    </xf>
    <xf numFmtId="3" fontId="80" fillId="0" borderId="23" xfId="0" applyNumberFormat="1" applyFont="1" applyBorder="1" applyAlignment="1">
      <alignment wrapText="1"/>
    </xf>
    <xf numFmtId="0" fontId="80" fillId="0" borderId="23" xfId="0" applyFont="1" applyBorder="1" applyAlignment="1">
      <alignment wrapText="1"/>
    </xf>
    <xf numFmtId="0" fontId="34" fillId="0" borderId="24" xfId="0" applyFont="1" applyBorder="1" applyAlignment="1">
      <alignment horizontal="center" vertical="center"/>
    </xf>
    <xf numFmtId="0" fontId="34" fillId="0" borderId="24" xfId="0" applyFont="1" applyBorder="1"/>
    <xf numFmtId="0" fontId="39" fillId="0" borderId="24" xfId="0" applyFont="1" applyBorder="1"/>
    <xf numFmtId="0" fontId="34" fillId="0" borderId="45" xfId="0" applyFont="1" applyBorder="1" applyAlignment="1">
      <alignment horizontal="center" vertical="center"/>
    </xf>
    <xf numFmtId="0" fontId="25" fillId="0" borderId="45" xfId="0" applyFont="1" applyBorder="1" applyAlignment="1">
      <alignment wrapText="1"/>
    </xf>
    <xf numFmtId="0" fontId="34" fillId="0" borderId="45" xfId="0" applyFont="1" applyBorder="1"/>
    <xf numFmtId="0" fontId="39" fillId="0" borderId="45" xfId="0" applyFont="1" applyBorder="1"/>
    <xf numFmtId="0" fontId="34" fillId="0" borderId="105" xfId="0" applyFont="1" applyBorder="1" applyAlignment="1">
      <alignment horizontal="center" vertical="center"/>
    </xf>
    <xf numFmtId="0" fontId="25" fillId="0" borderId="31" xfId="0" applyFont="1" applyBorder="1" applyAlignment="1">
      <alignment wrapText="1"/>
    </xf>
    <xf numFmtId="0" fontId="34" fillId="0" borderId="31" xfId="0" applyFont="1" applyBorder="1"/>
    <xf numFmtId="0" fontId="39" fillId="0" borderId="31" xfId="0" applyFont="1" applyBorder="1"/>
    <xf numFmtId="0" fontId="39" fillId="0" borderId="56" xfId="0" applyFont="1" applyBorder="1"/>
    <xf numFmtId="0" fontId="34" fillId="0" borderId="45" xfId="0" applyFont="1" applyBorder="1" applyAlignment="1">
      <alignment wrapText="1"/>
    </xf>
    <xf numFmtId="3" fontId="34" fillId="0" borderId="45" xfId="0" applyNumberFormat="1" applyFont="1" applyBorder="1"/>
    <xf numFmtId="3" fontId="28" fillId="0" borderId="24" xfId="0" applyNumberFormat="1" applyFont="1" applyBorder="1" applyAlignment="1">
      <alignment wrapText="1"/>
    </xf>
    <xf numFmtId="0" fontId="35" fillId="0" borderId="45" xfId="0" applyFont="1" applyBorder="1"/>
    <xf numFmtId="0" fontId="25" fillId="0" borderId="105" xfId="0" applyFont="1" applyBorder="1" applyAlignment="1">
      <alignment wrapText="1"/>
    </xf>
    <xf numFmtId="3" fontId="34" fillId="0" borderId="31" xfId="0" applyNumberFormat="1" applyFont="1" applyBorder="1"/>
    <xf numFmtId="0" fontId="34" fillId="0" borderId="68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wrapText="1"/>
    </xf>
    <xf numFmtId="0" fontId="34" fillId="0" borderId="25" xfId="0" applyFont="1" applyBorder="1"/>
    <xf numFmtId="0" fontId="39" fillId="0" borderId="25" xfId="0" applyFont="1" applyBorder="1"/>
    <xf numFmtId="3" fontId="28" fillId="0" borderId="31" xfId="0" applyNumberFormat="1" applyFont="1" applyBorder="1"/>
    <xf numFmtId="3" fontId="110" fillId="0" borderId="24" xfId="0" applyNumberFormat="1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/>
    </xf>
    <xf numFmtId="0" fontId="141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horizontal="center" vertical="center" wrapText="1"/>
    </xf>
    <xf numFmtId="3" fontId="31" fillId="0" borderId="23" xfId="0" applyNumberFormat="1" applyFont="1" applyBorder="1"/>
    <xf numFmtId="0" fontId="40" fillId="0" borderId="23" xfId="0" applyFont="1" applyBorder="1"/>
    <xf numFmtId="0" fontId="56" fillId="0" borderId="23" xfId="0" applyFont="1" applyBorder="1" applyAlignment="1">
      <alignment horizontal="center" vertical="center"/>
    </xf>
    <xf numFmtId="0" fontId="110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vertical="center"/>
    </xf>
    <xf numFmtId="0" fontId="31" fillId="0" borderId="23" xfId="0" applyFont="1" applyBorder="1" applyAlignment="1">
      <alignment wrapText="1"/>
    </xf>
    <xf numFmtId="0" fontId="31" fillId="0" borderId="23" xfId="0" applyFont="1" applyBorder="1" applyAlignment="1">
      <alignment horizontal="left" wrapText="1"/>
    </xf>
    <xf numFmtId="0" fontId="31" fillId="25" borderId="23" xfId="0" applyFont="1" applyFill="1" applyBorder="1" applyAlignment="1">
      <alignment horizontal="left" wrapText="1"/>
    </xf>
    <xf numFmtId="3" fontId="31" fillId="25" borderId="23" xfId="0" applyNumberFormat="1" applyFont="1" applyFill="1" applyBorder="1"/>
    <xf numFmtId="0" fontId="110" fillId="0" borderId="23" xfId="0" applyFont="1" applyBorder="1" applyAlignment="1">
      <alignment wrapText="1"/>
    </xf>
    <xf numFmtId="0" fontId="31" fillId="0" borderId="23" xfId="0" applyFont="1" applyBorder="1" applyAlignment="1">
      <alignment vertical="center" wrapText="1"/>
    </xf>
    <xf numFmtId="3" fontId="33" fillId="0" borderId="23" xfId="0" applyNumberFormat="1" applyFont="1" applyBorder="1"/>
    <xf numFmtId="0" fontId="31" fillId="25" borderId="23" xfId="0" applyFont="1" applyFill="1" applyBorder="1" applyAlignment="1">
      <alignment wrapText="1"/>
    </xf>
    <xf numFmtId="3" fontId="31" fillId="25" borderId="23" xfId="0" applyNumberFormat="1" applyFont="1" applyFill="1" applyBorder="1" applyAlignment="1">
      <alignment vertical="center"/>
    </xf>
    <xf numFmtId="0" fontId="56" fillId="0" borderId="42" xfId="0" applyFont="1" applyBorder="1" applyAlignment="1">
      <alignment horizontal="center"/>
    </xf>
    <xf numFmtId="0" fontId="31" fillId="0" borderId="24" xfId="0" applyFont="1" applyBorder="1" applyAlignment="1">
      <alignment wrapText="1"/>
    </xf>
    <xf numFmtId="0" fontId="40" fillId="0" borderId="24" xfId="0" applyFont="1" applyBorder="1"/>
    <xf numFmtId="0" fontId="110" fillId="0" borderId="105" xfId="0" applyFont="1" applyBorder="1" applyAlignment="1">
      <alignment wrapText="1"/>
    </xf>
    <xf numFmtId="0" fontId="40" fillId="0" borderId="31" xfId="0" applyFont="1" applyBorder="1"/>
    <xf numFmtId="0" fontId="40" fillId="0" borderId="56" xfId="0" applyFont="1" applyBorder="1"/>
    <xf numFmtId="0" fontId="56" fillId="0" borderId="24" xfId="0" applyFont="1" applyBorder="1" applyAlignment="1">
      <alignment horizontal="center"/>
    </xf>
    <xf numFmtId="0" fontId="31" fillId="25" borderId="24" xfId="0" applyFont="1" applyFill="1" applyBorder="1" applyAlignment="1">
      <alignment horizontal="left" wrapText="1"/>
    </xf>
    <xf numFmtId="3" fontId="31" fillId="25" borderId="24" xfId="0" applyNumberFormat="1" applyFont="1" applyFill="1" applyBorder="1"/>
    <xf numFmtId="0" fontId="56" fillId="0" borderId="45" xfId="0" applyFont="1" applyBorder="1" applyAlignment="1">
      <alignment horizontal="center"/>
    </xf>
    <xf numFmtId="0" fontId="31" fillId="0" borderId="45" xfId="0" applyFont="1" applyBorder="1" applyAlignment="1">
      <alignment wrapText="1"/>
    </xf>
    <xf numFmtId="3" fontId="31" fillId="0" borderId="45" xfId="0" applyNumberFormat="1" applyFont="1" applyBorder="1"/>
    <xf numFmtId="0" fontId="40" fillId="0" borderId="45" xfId="0" applyFont="1" applyBorder="1"/>
    <xf numFmtId="0" fontId="56" fillId="0" borderId="105" xfId="0" applyFont="1" applyBorder="1" applyAlignment="1">
      <alignment horizontal="center"/>
    </xf>
    <xf numFmtId="3" fontId="31" fillId="0" borderId="24" xfId="0" applyNumberFormat="1" applyFont="1" applyBorder="1" applyAlignment="1">
      <alignment vertical="center"/>
    </xf>
    <xf numFmtId="0" fontId="110" fillId="0" borderId="45" xfId="0" applyFont="1" applyBorder="1" applyAlignment="1">
      <alignment horizontal="left" wrapText="1"/>
    </xf>
    <xf numFmtId="3" fontId="25" fillId="0" borderId="0" xfId="78" applyNumberFormat="1" applyFont="1" applyBorder="1" applyAlignment="1">
      <alignment horizontal="center" vertical="center"/>
    </xf>
    <xf numFmtId="0" fontId="37" fillId="0" borderId="0" xfId="78" applyFont="1" applyBorder="1"/>
    <xf numFmtId="3" fontId="25" fillId="0" borderId="48" xfId="0" applyNumberFormat="1" applyFont="1" applyBorder="1" applyAlignment="1">
      <alignment horizontal="center" vertical="center" wrapText="1"/>
    </xf>
    <xf numFmtId="3" fontId="25" fillId="0" borderId="52" xfId="0" applyNumberFormat="1" applyFont="1" applyBorder="1" applyAlignment="1">
      <alignment horizontal="center" vertical="center" wrapText="1"/>
    </xf>
    <xf numFmtId="49" fontId="28" fillId="0" borderId="23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left" vertical="center" wrapText="1"/>
    </xf>
    <xf numFmtId="3" fontId="28" fillId="0" borderId="23" xfId="78" applyNumberFormat="1" applyFont="1" applyBorder="1"/>
    <xf numFmtId="3" fontId="25" fillId="0" borderId="23" xfId="78" applyNumberFormat="1" applyFont="1" applyBorder="1"/>
    <xf numFmtId="3" fontId="37" fillId="0" borderId="23" xfId="78" applyNumberFormat="1" applyFont="1" applyBorder="1"/>
    <xf numFmtId="0" fontId="37" fillId="0" borderId="23" xfId="78" applyFont="1" applyBorder="1"/>
    <xf numFmtId="3" fontId="25" fillId="0" borderId="23" xfId="78" applyNumberFormat="1" applyFont="1" applyBorder="1" applyAlignment="1">
      <alignment horizontal="center" vertical="center" wrapText="1"/>
    </xf>
    <xf numFmtId="3" fontId="28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Border="1" applyAlignment="1">
      <alignment vertical="center"/>
    </xf>
    <xf numFmtId="3" fontId="35" fillId="0" borderId="23" xfId="78" applyNumberFormat="1" applyFont="1" applyBorder="1"/>
    <xf numFmtId="3" fontId="30" fillId="0" borderId="23" xfId="78" applyNumberFormat="1" applyFont="1" applyBorder="1"/>
    <xf numFmtId="0" fontId="28" fillId="0" borderId="23" xfId="78" applyFont="1" applyBorder="1"/>
    <xf numFmtId="3" fontId="25" fillId="0" borderId="23" xfId="78" applyNumberFormat="1" applyFont="1" applyFill="1" applyBorder="1" applyAlignment="1">
      <alignment horizontal="left" vertical="center" wrapText="1"/>
    </xf>
    <xf numFmtId="0" fontId="35" fillId="0" borderId="23" xfId="78" applyFont="1" applyBorder="1"/>
    <xf numFmtId="49" fontId="25" fillId="0" borderId="23" xfId="78" applyNumberFormat="1" applyFont="1" applyBorder="1" applyAlignment="1">
      <alignment horizontal="center" vertical="center" wrapText="1"/>
    </xf>
    <xf numFmtId="3" fontId="35" fillId="0" borderId="23" xfId="78" applyNumberFormat="1" applyFont="1" applyBorder="1" applyAlignment="1">
      <alignment vertical="center"/>
    </xf>
    <xf numFmtId="3" fontId="30" fillId="0" borderId="23" xfId="78" applyNumberFormat="1" applyFont="1" applyBorder="1" applyAlignment="1">
      <alignment vertical="center"/>
    </xf>
    <xf numFmtId="0" fontId="137" fillId="0" borderId="23" xfId="78" applyFont="1" applyBorder="1"/>
    <xf numFmtId="3" fontId="28" fillId="0" borderId="23" xfId="78" applyNumberFormat="1" applyFont="1" applyBorder="1" applyAlignment="1">
      <alignment horizontal="left" vertical="center" wrapText="1"/>
    </xf>
    <xf numFmtId="3" fontId="25" fillId="0" borderId="23" xfId="78" applyNumberFormat="1" applyFont="1" applyBorder="1" applyAlignment="1">
      <alignment horizontal="center" wrapText="1"/>
    </xf>
    <xf numFmtId="3" fontId="30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Fill="1" applyBorder="1"/>
    <xf numFmtId="49" fontId="35" fillId="0" borderId="23" xfId="78" applyNumberFormat="1" applyFont="1" applyBorder="1" applyAlignment="1">
      <alignment horizontal="center" vertical="center" wrapText="1"/>
    </xf>
    <xf numFmtId="3" fontId="35" fillId="0" borderId="23" xfId="78" applyNumberFormat="1" applyFont="1" applyFill="1" applyBorder="1" applyAlignment="1">
      <alignment horizontal="left" vertical="center" wrapText="1"/>
    </xf>
    <xf numFmtId="0" fontId="28" fillId="0" borderId="23" xfId="78" applyFont="1" applyBorder="1" applyAlignment="1">
      <alignment vertical="center" wrapText="1"/>
    </xf>
    <xf numFmtId="0" fontId="35" fillId="0" borderId="23" xfId="78" applyFont="1" applyBorder="1" applyAlignment="1">
      <alignment vertical="center" wrapText="1"/>
    </xf>
    <xf numFmtId="0" fontId="28" fillId="0" borderId="23" xfId="78" applyFont="1" applyBorder="1" applyAlignment="1">
      <alignment horizontal="center" wrapText="1"/>
    </xf>
    <xf numFmtId="49" fontId="58" fillId="0" borderId="23" xfId="78" applyNumberFormat="1" applyFont="1" applyBorder="1" applyAlignment="1">
      <alignment horizontal="center" vertical="center" wrapText="1"/>
    </xf>
    <xf numFmtId="0" fontId="139" fillId="0" borderId="23" xfId="78" applyFont="1" applyBorder="1" applyAlignment="1">
      <alignment vertical="center" wrapText="1"/>
    </xf>
    <xf numFmtId="0" fontId="28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3" fontId="25" fillId="0" borderId="23" xfId="78" applyNumberFormat="1" applyFont="1" applyFill="1" applyBorder="1"/>
    <xf numFmtId="3" fontId="60" fillId="0" borderId="23" xfId="78" applyNumberFormat="1" applyFont="1" applyBorder="1"/>
    <xf numFmtId="0" fontId="60" fillId="0" borderId="23" xfId="78" applyFont="1" applyBorder="1"/>
    <xf numFmtId="3" fontId="28" fillId="0" borderId="23" xfId="78" applyNumberFormat="1" applyFont="1" applyFill="1" applyBorder="1" applyAlignment="1">
      <alignment vertical="center"/>
    </xf>
    <xf numFmtId="3" fontId="86" fillId="0" borderId="23" xfId="78" applyNumberFormat="1" applyFont="1" applyBorder="1" applyAlignment="1">
      <alignment vertical="center"/>
    </xf>
    <xf numFmtId="3" fontId="87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wrapText="1"/>
    </xf>
    <xf numFmtId="3" fontId="25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vertical="center" wrapText="1"/>
    </xf>
    <xf numFmtId="0" fontId="61" fillId="0" borderId="23" xfId="78" applyFont="1" applyBorder="1"/>
    <xf numFmtId="3" fontId="61" fillId="0" borderId="23" xfId="78" applyNumberFormat="1" applyFont="1" applyBorder="1"/>
    <xf numFmtId="0" fontId="30" fillId="0" borderId="23" xfId="78" applyFont="1" applyBorder="1"/>
    <xf numFmtId="0" fontId="30" fillId="0" borderId="23" xfId="78" applyFont="1" applyBorder="1" applyAlignment="1">
      <alignment vertical="center"/>
    </xf>
    <xf numFmtId="3" fontId="35" fillId="0" borderId="23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Fill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5" fillId="0" borderId="24" xfId="78" applyNumberFormat="1" applyFont="1" applyBorder="1"/>
    <xf numFmtId="3" fontId="30" fillId="0" borderId="24" xfId="78" applyNumberFormat="1" applyFont="1" applyBorder="1"/>
    <xf numFmtId="3" fontId="28" fillId="0" borderId="24" xfId="78" applyNumberFormat="1" applyFont="1" applyBorder="1"/>
    <xf numFmtId="0" fontId="28" fillId="0" borderId="24" xfId="78" applyFont="1" applyBorder="1"/>
    <xf numFmtId="49" fontId="25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 applyAlignment="1">
      <alignment horizontal="left" vertical="center" wrapText="1"/>
    </xf>
    <xf numFmtId="3" fontId="28" fillId="0" borderId="45" xfId="78" applyNumberFormat="1" applyFont="1" applyBorder="1"/>
    <xf numFmtId="3" fontId="25" fillId="0" borderId="45" xfId="78" applyNumberFormat="1" applyFont="1" applyBorder="1"/>
    <xf numFmtId="3" fontId="37" fillId="0" borderId="45" xfId="78" applyNumberFormat="1" applyFont="1" applyBorder="1"/>
    <xf numFmtId="0" fontId="37" fillId="0" borderId="45" xfId="78" applyFont="1" applyBorder="1"/>
    <xf numFmtId="3" fontId="25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31" xfId="78" applyNumberFormat="1" applyFont="1" applyBorder="1"/>
    <xf numFmtId="3" fontId="30" fillId="0" borderId="31" xfId="78" applyNumberFormat="1" applyFont="1" applyBorder="1"/>
    <xf numFmtId="0" fontId="35" fillId="0" borderId="31" xfId="78" applyFont="1" applyBorder="1"/>
    <xf numFmtId="0" fontId="28" fillId="0" borderId="56" xfId="78" applyFont="1" applyBorder="1"/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0" fontId="137" fillId="0" borderId="24" xfId="78" applyFont="1" applyBorder="1"/>
    <xf numFmtId="0" fontId="37" fillId="0" borderId="24" xfId="78" applyFont="1" applyBorder="1"/>
    <xf numFmtId="3" fontId="30" fillId="0" borderId="45" xfId="78" applyNumberFormat="1" applyFont="1" applyBorder="1" applyAlignment="1">
      <alignment horizontal="left" vertical="center" wrapText="1"/>
    </xf>
    <xf numFmtId="49" fontId="25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Border="1" applyAlignment="1">
      <alignment horizontal="left" vertical="center" wrapText="1"/>
    </xf>
    <xf numFmtId="0" fontId="37" fillId="0" borderId="31" xfId="78" applyFont="1" applyBorder="1"/>
    <xf numFmtId="0" fontId="37" fillId="0" borderId="56" xfId="78" applyFont="1" applyBorder="1"/>
    <xf numFmtId="49" fontId="35" fillId="0" borderId="24" xfId="78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3" fontId="35" fillId="0" borderId="24" xfId="78" applyNumberFormat="1" applyFont="1" applyBorder="1" applyAlignment="1">
      <alignment vertical="center"/>
    </xf>
    <xf numFmtId="3" fontId="30" fillId="0" borderId="24" xfId="78" applyNumberFormat="1" applyFont="1" applyBorder="1" applyAlignment="1">
      <alignment vertical="center"/>
    </xf>
    <xf numFmtId="3" fontId="28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/>
    <xf numFmtId="0" fontId="28" fillId="0" borderId="45" xfId="78" applyFont="1" applyBorder="1"/>
    <xf numFmtId="3" fontId="28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/>
    <xf numFmtId="0" fontId="28" fillId="0" borderId="24" xfId="78" applyFont="1" applyBorder="1" applyAlignment="1">
      <alignment vertical="center" wrapText="1"/>
    </xf>
    <xf numFmtId="3" fontId="28" fillId="0" borderId="24" xfId="78" applyNumberFormat="1" applyFont="1" applyFill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0" fontId="60" fillId="0" borderId="24" xfId="78" applyFont="1" applyBorder="1"/>
    <xf numFmtId="3" fontId="25" fillId="0" borderId="45" xfId="78" applyNumberFormat="1" applyFont="1" applyFill="1" applyBorder="1" applyAlignment="1">
      <alignment horizontal="left" vertical="center" wrapText="1"/>
    </xf>
    <xf numFmtId="3" fontId="25" fillId="0" borderId="45" xfId="78" applyNumberFormat="1" applyFont="1" applyFill="1" applyBorder="1"/>
    <xf numFmtId="0" fontId="60" fillId="0" borderId="45" xfId="78" applyFont="1" applyBorder="1"/>
    <xf numFmtId="0" fontId="60" fillId="0" borderId="31" xfId="78" applyFont="1" applyBorder="1"/>
    <xf numFmtId="0" fontId="60" fillId="0" borderId="56" xfId="78" applyFont="1" applyBorder="1"/>
    <xf numFmtId="49" fontId="25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Fill="1" applyBorder="1"/>
    <xf numFmtId="3" fontId="25" fillId="0" borderId="24" xfId="78" applyNumberFormat="1" applyFont="1" applyBorder="1"/>
    <xf numFmtId="0" fontId="35" fillId="0" borderId="24" xfId="78" applyFont="1" applyBorder="1"/>
    <xf numFmtId="3" fontId="25" fillId="0" borderId="45" xfId="78" applyNumberFormat="1" applyFont="1" applyBorder="1" applyAlignment="1">
      <alignment horizontal="left" vertical="center" wrapText="1"/>
    </xf>
    <xf numFmtId="0" fontId="35" fillId="0" borderId="45" xfId="78" applyFont="1" applyBorder="1"/>
    <xf numFmtId="0" fontId="35" fillId="0" borderId="56" xfId="78" applyFont="1" applyBorder="1"/>
    <xf numFmtId="49" fontId="28" fillId="0" borderId="45" xfId="78" applyNumberFormat="1" applyFont="1" applyBorder="1" applyAlignment="1">
      <alignment horizontal="center" vertical="center" wrapText="1"/>
    </xf>
    <xf numFmtId="3" fontId="35" fillId="0" borderId="45" xfId="78" applyNumberFormat="1" applyFont="1" applyBorder="1"/>
    <xf numFmtId="49" fontId="28" fillId="0" borderId="105" xfId="78" applyNumberFormat="1" applyFont="1" applyBorder="1" applyAlignment="1">
      <alignment horizontal="center" vertical="center" wrapText="1"/>
    </xf>
    <xf numFmtId="3" fontId="37" fillId="0" borderId="45" xfId="78" applyNumberFormat="1" applyFont="1" applyFill="1" applyBorder="1" applyAlignment="1">
      <alignment horizontal="left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0" fontId="31" fillId="0" borderId="24" xfId="0" applyFont="1" applyBorder="1" applyAlignment="1">
      <alignment vertical="center" wrapText="1"/>
    </xf>
    <xf numFmtId="0" fontId="61" fillId="0" borderId="24" xfId="78" applyFont="1" applyBorder="1"/>
    <xf numFmtId="3" fontId="61" fillId="0" borderId="24" xfId="78" applyNumberFormat="1" applyFont="1" applyBorder="1"/>
    <xf numFmtId="0" fontId="30" fillId="0" borderId="24" xfId="78" applyFont="1" applyBorder="1"/>
    <xf numFmtId="3" fontId="30" fillId="0" borderId="45" xfId="78" applyNumberFormat="1" applyFont="1" applyBorder="1"/>
    <xf numFmtId="0" fontId="30" fillId="0" borderId="45" xfId="78" applyFont="1" applyBorder="1"/>
    <xf numFmtId="3" fontId="30" fillId="0" borderId="31" xfId="78" applyNumberFormat="1" applyFont="1" applyBorder="1" applyAlignment="1">
      <alignment vertical="center"/>
    </xf>
    <xf numFmtId="0" fontId="30" fillId="0" borderId="31" xfId="78" applyFont="1" applyBorder="1"/>
    <xf numFmtId="0" fontId="30" fillId="0" borderId="56" xfId="78" applyFont="1" applyBorder="1"/>
    <xf numFmtId="3" fontId="28" fillId="0" borderId="45" xfId="78" applyNumberFormat="1" applyFont="1" applyBorder="1" applyAlignment="1">
      <alignment horizontal="left" vertical="center" wrapText="1"/>
    </xf>
    <xf numFmtId="3" fontId="25" fillId="0" borderId="31" xfId="78" applyNumberFormat="1" applyFont="1" applyBorder="1" applyAlignment="1">
      <alignment vertical="center"/>
    </xf>
    <xf numFmtId="3" fontId="122" fillId="0" borderId="24" xfId="78" applyNumberFormat="1" applyFont="1" applyBorder="1" applyAlignment="1">
      <alignment horizontal="left" vertical="center" wrapText="1"/>
    </xf>
    <xf numFmtId="3" fontId="122" fillId="0" borderId="24" xfId="78" applyNumberFormat="1" applyFont="1" applyBorder="1"/>
    <xf numFmtId="0" fontId="30" fillId="0" borderId="24" xfId="78" applyFont="1" applyBorder="1" applyAlignment="1">
      <alignment vertical="center"/>
    </xf>
    <xf numFmtId="0" fontId="30" fillId="0" borderId="31" xfId="78" applyFont="1" applyBorder="1" applyAlignment="1">
      <alignment vertical="center"/>
    </xf>
    <xf numFmtId="0" fontId="30" fillId="0" borderId="56" xfId="78" applyFont="1" applyBorder="1" applyAlignment="1">
      <alignment vertical="center"/>
    </xf>
    <xf numFmtId="3" fontId="28" fillId="0" borderId="84" xfId="78" applyNumberFormat="1" applyFont="1" applyBorder="1"/>
    <xf numFmtId="3" fontId="35" fillId="0" borderId="74" xfId="78" applyNumberFormat="1" applyFont="1" applyBorder="1"/>
    <xf numFmtId="3" fontId="30" fillId="0" borderId="63" xfId="78" applyNumberFormat="1" applyFont="1" applyBorder="1"/>
    <xf numFmtId="3" fontId="28" fillId="0" borderId="77" xfId="78" applyNumberFormat="1" applyFont="1" applyBorder="1"/>
    <xf numFmtId="3" fontId="35" fillId="0" borderId="84" xfId="78" applyNumberFormat="1" applyFont="1" applyBorder="1" applyAlignment="1">
      <alignment vertical="center"/>
    </xf>
    <xf numFmtId="3" fontId="25" fillId="0" borderId="108" xfId="0" applyNumberFormat="1" applyFont="1" applyBorder="1" applyAlignment="1">
      <alignment horizontal="center" vertical="center" wrapText="1"/>
    </xf>
    <xf numFmtId="3" fontId="28" fillId="0" borderId="109" xfId="78" applyNumberFormat="1" applyFont="1" applyBorder="1"/>
    <xf numFmtId="3" fontId="35" fillId="0" borderId="110" xfId="78" applyNumberFormat="1" applyFont="1" applyBorder="1"/>
    <xf numFmtId="3" fontId="30" fillId="0" borderId="56" xfId="78" applyNumberFormat="1" applyFont="1" applyBorder="1"/>
    <xf numFmtId="3" fontId="28" fillId="0" borderId="111" xfId="78" applyNumberFormat="1" applyFont="1" applyBorder="1"/>
    <xf numFmtId="3" fontId="35" fillId="0" borderId="109" xfId="78" applyNumberFormat="1" applyFont="1" applyBorder="1" applyAlignment="1">
      <alignment vertical="center"/>
    </xf>
    <xf numFmtId="3" fontId="35" fillId="0" borderId="74" xfId="78" applyNumberFormat="1" applyFont="1" applyBorder="1" applyAlignment="1">
      <alignment vertical="center"/>
    </xf>
    <xf numFmtId="3" fontId="25" fillId="0" borderId="84" xfId="78" applyNumberFormat="1" applyFont="1" applyBorder="1"/>
    <xf numFmtId="3" fontId="86" fillId="0" borderId="84" xfId="78" applyNumberFormat="1" applyFont="1" applyBorder="1" applyAlignment="1">
      <alignment vertical="center"/>
    </xf>
    <xf numFmtId="3" fontId="28" fillId="0" borderId="84" xfId="78" applyNumberFormat="1" applyFont="1" applyBorder="1" applyAlignment="1">
      <alignment vertical="center"/>
    </xf>
    <xf numFmtId="3" fontId="28" fillId="0" borderId="74" xfId="78" applyNumberFormat="1" applyFont="1" applyBorder="1" applyAlignment="1">
      <alignment vertical="center"/>
    </xf>
    <xf numFmtId="3" fontId="25" fillId="0" borderId="63" xfId="78" applyNumberFormat="1" applyFont="1" applyBorder="1"/>
    <xf numFmtId="3" fontId="25" fillId="0" borderId="77" xfId="78" applyNumberFormat="1" applyFont="1" applyBorder="1"/>
    <xf numFmtId="3" fontId="28" fillId="0" borderId="74" xfId="78" applyNumberFormat="1" applyFont="1" applyBorder="1"/>
    <xf numFmtId="0" fontId="35" fillId="0" borderId="84" xfId="78" applyFont="1" applyBorder="1"/>
    <xf numFmtId="3" fontId="25" fillId="0" borderId="74" xfId="78" applyNumberFormat="1" applyFont="1" applyBorder="1"/>
    <xf numFmtId="3" fontId="30" fillId="0" borderId="63" xfId="78" applyNumberFormat="1" applyFont="1" applyBorder="1" applyAlignment="1">
      <alignment vertical="center"/>
    </xf>
    <xf numFmtId="3" fontId="25" fillId="0" borderId="63" xfId="78" applyNumberFormat="1" applyFont="1" applyBorder="1" applyAlignment="1">
      <alignment vertical="center"/>
    </xf>
    <xf numFmtId="3" fontId="28" fillId="0" borderId="113" xfId="78" applyNumberFormat="1" applyFont="1" applyBorder="1"/>
    <xf numFmtId="3" fontId="35" fillId="0" borderId="110" xfId="78" applyNumberFormat="1" applyFont="1" applyBorder="1" applyAlignment="1">
      <alignment vertical="center"/>
    </xf>
    <xf numFmtId="3" fontId="25" fillId="0" borderId="109" xfId="78" applyNumberFormat="1" applyFont="1" applyBorder="1"/>
    <xf numFmtId="3" fontId="86" fillId="0" borderId="109" xfId="78" applyNumberFormat="1" applyFont="1" applyBorder="1" applyAlignment="1">
      <alignment vertical="center"/>
    </xf>
    <xf numFmtId="3" fontId="28" fillId="0" borderId="109" xfId="78" applyNumberFormat="1" applyFont="1" applyBorder="1" applyAlignment="1">
      <alignment vertical="center"/>
    </xf>
    <xf numFmtId="3" fontId="28" fillId="0" borderId="110" xfId="78" applyNumberFormat="1" applyFont="1" applyBorder="1" applyAlignment="1">
      <alignment vertical="center"/>
    </xf>
    <xf numFmtId="3" fontId="25" fillId="0" borderId="56" xfId="78" applyNumberFormat="1" applyFont="1" applyBorder="1"/>
    <xf numFmtId="3" fontId="25" fillId="0" borderId="111" xfId="78" applyNumberFormat="1" applyFont="1" applyBorder="1"/>
    <xf numFmtId="3" fontId="28" fillId="0" borderId="110" xfId="78" applyNumberFormat="1" applyFont="1" applyBorder="1"/>
    <xf numFmtId="0" fontId="35" fillId="0" borderId="109" xfId="78" applyFont="1" applyBorder="1"/>
    <xf numFmtId="3" fontId="25" fillId="0" borderId="110" xfId="78" applyNumberFormat="1" applyFont="1" applyBorder="1"/>
    <xf numFmtId="3" fontId="30" fillId="0" borderId="56" xfId="78" applyNumberFormat="1" applyFont="1" applyBorder="1" applyAlignment="1">
      <alignment vertical="center"/>
    </xf>
    <xf numFmtId="3" fontId="25" fillId="0" borderId="56" xfId="78" applyNumberFormat="1" applyFont="1" applyBorder="1" applyAlignment="1">
      <alignment vertical="center"/>
    </xf>
    <xf numFmtId="3" fontId="30" fillId="0" borderId="74" xfId="78" applyNumberFormat="1" applyFont="1" applyBorder="1"/>
    <xf numFmtId="3" fontId="30" fillId="0" borderId="84" xfId="78" applyNumberFormat="1" applyFont="1" applyBorder="1" applyAlignment="1">
      <alignment vertical="center"/>
    </xf>
    <xf numFmtId="3" fontId="30" fillId="0" borderId="74" xfId="78" applyNumberFormat="1" applyFont="1" applyBorder="1" applyAlignment="1">
      <alignment vertical="center"/>
    </xf>
    <xf numFmtId="3" fontId="87" fillId="0" borderId="84" xfId="78" applyNumberFormat="1" applyFont="1" applyBorder="1" applyAlignment="1">
      <alignment vertical="center"/>
    </xf>
    <xf numFmtId="3" fontId="25" fillId="0" borderId="84" xfId="78" applyNumberFormat="1" applyFont="1" applyBorder="1" applyAlignment="1">
      <alignment vertical="center"/>
    </xf>
    <xf numFmtId="3" fontId="25" fillId="0" borderId="74" xfId="78" applyNumberFormat="1" applyFont="1" applyBorder="1" applyAlignment="1">
      <alignment vertical="center"/>
    </xf>
    <xf numFmtId="3" fontId="37" fillId="0" borderId="84" xfId="78" applyNumberFormat="1" applyFont="1" applyBorder="1"/>
    <xf numFmtId="3" fontId="37" fillId="0" borderId="77" xfId="78" applyNumberFormat="1" applyFont="1" applyBorder="1"/>
    <xf numFmtId="3" fontId="25" fillId="0" borderId="115" xfId="0" applyNumberFormat="1" applyFont="1" applyBorder="1" applyAlignment="1">
      <alignment horizontal="center" vertical="center" wrapText="1"/>
    </xf>
    <xf numFmtId="3" fontId="30" fillId="0" borderId="110" xfId="78" applyNumberFormat="1" applyFont="1" applyBorder="1"/>
    <xf numFmtId="3" fontId="30" fillId="0" borderId="109" xfId="78" applyNumberFormat="1" applyFont="1" applyBorder="1" applyAlignment="1">
      <alignment vertical="center"/>
    </xf>
    <xf numFmtId="3" fontId="60" fillId="0" borderId="84" xfId="78" applyNumberFormat="1" applyFont="1" applyBorder="1"/>
    <xf numFmtId="3" fontId="35" fillId="0" borderId="84" xfId="78" applyNumberFormat="1" applyFont="1" applyBorder="1"/>
    <xf numFmtId="3" fontId="35" fillId="0" borderId="77" xfId="78" applyNumberFormat="1" applyFont="1" applyBorder="1"/>
    <xf numFmtId="3" fontId="61" fillId="0" borderId="84" xfId="78" applyNumberFormat="1" applyFont="1" applyBorder="1"/>
    <xf numFmtId="3" fontId="61" fillId="0" borderId="74" xfId="78" applyNumberFormat="1" applyFont="1" applyBorder="1"/>
    <xf numFmtId="3" fontId="30" fillId="0" borderId="84" xfId="78" applyNumberFormat="1" applyFont="1" applyBorder="1"/>
    <xf numFmtId="3" fontId="30" fillId="0" borderId="77" xfId="78" applyNumberFormat="1" applyFont="1" applyBorder="1"/>
    <xf numFmtId="3" fontId="30" fillId="0" borderId="110" xfId="78" applyNumberFormat="1" applyFont="1" applyBorder="1" applyAlignment="1">
      <alignment vertical="center"/>
    </xf>
    <xf numFmtId="3" fontId="87" fillId="0" borderId="109" xfId="78" applyNumberFormat="1" applyFont="1" applyBorder="1" applyAlignment="1">
      <alignment vertical="center"/>
    </xf>
    <xf numFmtId="3" fontId="25" fillId="0" borderId="109" xfId="78" applyNumberFormat="1" applyFont="1" applyBorder="1" applyAlignment="1">
      <alignment vertical="center"/>
    </xf>
    <xf numFmtId="3" fontId="25" fillId="0" borderId="110" xfId="78" applyNumberFormat="1" applyFont="1" applyBorder="1" applyAlignment="1">
      <alignment vertical="center"/>
    </xf>
    <xf numFmtId="3" fontId="84" fillId="0" borderId="84" xfId="78" applyNumberFormat="1" applyFont="1" applyBorder="1"/>
    <xf numFmtId="3" fontId="37" fillId="0" borderId="109" xfId="78" applyNumberFormat="1" applyFont="1" applyBorder="1"/>
    <xf numFmtId="3" fontId="37" fillId="0" borderId="111" xfId="78" applyNumberFormat="1" applyFont="1" applyBorder="1"/>
    <xf numFmtId="3" fontId="60" fillId="0" borderId="109" xfId="78" applyNumberFormat="1" applyFont="1" applyBorder="1"/>
    <xf numFmtId="3" fontId="35" fillId="0" borderId="109" xfId="78" applyNumberFormat="1" applyFont="1" applyBorder="1"/>
    <xf numFmtId="3" fontId="35" fillId="0" borderId="111" xfId="78" applyNumberFormat="1" applyFont="1" applyBorder="1"/>
    <xf numFmtId="3" fontId="61" fillId="0" borderId="109" xfId="78" applyNumberFormat="1" applyFont="1" applyBorder="1"/>
    <xf numFmtId="3" fontId="61" fillId="0" borderId="110" xfId="78" applyNumberFormat="1" applyFont="1" applyBorder="1"/>
    <xf numFmtId="3" fontId="30" fillId="0" borderId="109" xfId="78" applyNumberFormat="1" applyFont="1" applyBorder="1"/>
    <xf numFmtId="3" fontId="30" fillId="0" borderId="111" xfId="78" applyNumberFormat="1" applyFont="1" applyBorder="1"/>
    <xf numFmtId="0" fontId="35" fillId="0" borderId="21" xfId="78" applyFont="1" applyBorder="1"/>
    <xf numFmtId="0" fontId="37" fillId="0" borderId="42" xfId="78" applyFont="1" applyBorder="1"/>
    <xf numFmtId="0" fontId="37" fillId="0" borderId="84" xfId="78" applyFont="1" applyBorder="1"/>
    <xf numFmtId="0" fontId="20" fillId="0" borderId="23" xfId="0" applyFont="1" applyBorder="1" applyAlignment="1">
      <alignment horizontal="center"/>
    </xf>
    <xf numFmtId="0" fontId="49" fillId="0" borderId="23" xfId="0" applyFont="1" applyBorder="1"/>
    <xf numFmtId="3" fontId="43" fillId="0" borderId="23" xfId="0" applyNumberFormat="1" applyFont="1" applyBorder="1"/>
    <xf numFmtId="3" fontId="42" fillId="0" borderId="23" xfId="0" applyNumberFormat="1" applyFont="1" applyBorder="1"/>
    <xf numFmtId="0" fontId="42" fillId="0" borderId="23" xfId="0" applyFont="1" applyBorder="1"/>
    <xf numFmtId="0" fontId="44" fillId="0" borderId="23" xfId="0" applyFont="1" applyBorder="1" applyAlignment="1">
      <alignment horizontal="left" vertical="center"/>
    </xf>
    <xf numFmtId="0" fontId="20" fillId="0" borderId="23" xfId="0" applyFont="1" applyBorder="1" applyAlignment="1">
      <alignment horizontal="center" vertical="center"/>
    </xf>
    <xf numFmtId="0" fontId="43" fillId="0" borderId="23" xfId="0" applyFont="1" applyBorder="1" applyAlignment="1">
      <alignment vertical="center" wrapText="1"/>
    </xf>
    <xf numFmtId="3" fontId="43" fillId="0" borderId="23" xfId="0" applyNumberFormat="1" applyFont="1" applyBorder="1" applyAlignment="1">
      <alignment vertical="center"/>
    </xf>
    <xf numFmtId="3" fontId="53" fillId="0" borderId="23" xfId="0" applyNumberFormat="1" applyFont="1" applyBorder="1" applyAlignment="1">
      <alignment vertical="center"/>
    </xf>
    <xf numFmtId="0" fontId="44" fillId="0" borderId="23" xfId="0" applyFont="1" applyBorder="1" applyAlignment="1">
      <alignment vertical="center" wrapText="1"/>
    </xf>
    <xf numFmtId="3" fontId="20" fillId="0" borderId="23" xfId="0" applyNumberFormat="1" applyFont="1" applyBorder="1" applyAlignment="1">
      <alignment vertical="center"/>
    </xf>
    <xf numFmtId="0" fontId="24" fillId="0" borderId="23" xfId="0" applyFont="1" applyBorder="1" applyAlignment="1">
      <alignment vertical="center" wrapText="1"/>
    </xf>
    <xf numFmtId="0" fontId="48" fillId="0" borderId="23" xfId="0" applyFont="1" applyFill="1" applyBorder="1" applyAlignment="1">
      <alignment wrapText="1"/>
    </xf>
    <xf numFmtId="3" fontId="42" fillId="0" borderId="23" xfId="0" applyNumberFormat="1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43" fillId="0" borderId="23" xfId="0" applyFont="1" applyBorder="1"/>
    <xf numFmtId="0" fontId="43" fillId="0" borderId="23" xfId="0" applyFont="1" applyBorder="1" applyAlignment="1">
      <alignment wrapText="1"/>
    </xf>
    <xf numFmtId="0" fontId="44" fillId="0" borderId="23" xfId="0" applyFont="1" applyBorder="1" applyAlignment="1">
      <alignment wrapText="1"/>
    </xf>
    <xf numFmtId="0" fontId="20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3" fontId="53" fillId="0" borderId="24" xfId="0" applyNumberFormat="1" applyFont="1" applyBorder="1" applyAlignment="1">
      <alignment vertical="center"/>
    </xf>
    <xf numFmtId="0" fontId="42" fillId="0" borderId="24" xfId="0" applyFont="1" applyBorder="1"/>
    <xf numFmtId="0" fontId="20" fillId="0" borderId="45" xfId="0" applyFont="1" applyBorder="1" applyAlignment="1">
      <alignment horizontal="center"/>
    </xf>
    <xf numFmtId="0" fontId="48" fillId="0" borderId="45" xfId="0" applyFont="1" applyFill="1" applyBorder="1" applyAlignment="1">
      <alignment wrapText="1"/>
    </xf>
    <xf numFmtId="3" fontId="44" fillId="0" borderId="45" xfId="0" applyNumberFormat="1" applyFont="1" applyBorder="1" applyAlignment="1">
      <alignment vertical="center"/>
    </xf>
    <xf numFmtId="3" fontId="41" fillId="0" borderId="45" xfId="0" applyNumberFormat="1" applyFont="1" applyBorder="1" applyAlignment="1">
      <alignment vertical="center"/>
    </xf>
    <xf numFmtId="0" fontId="53" fillId="0" borderId="45" xfId="0" applyFont="1" applyBorder="1" applyAlignment="1">
      <alignment vertical="center"/>
    </xf>
    <xf numFmtId="0" fontId="41" fillId="0" borderId="45" xfId="0" applyFont="1" applyBorder="1"/>
    <xf numFmtId="0" fontId="20" fillId="0" borderId="105" xfId="0" applyFont="1" applyBorder="1" applyAlignment="1">
      <alignment horizontal="center"/>
    </xf>
    <xf numFmtId="0" fontId="48" fillId="0" borderId="31" xfId="0" applyFont="1" applyFill="1" applyBorder="1" applyAlignment="1">
      <alignment wrapText="1"/>
    </xf>
    <xf numFmtId="3" fontId="44" fillId="0" borderId="31" xfId="0" applyNumberFormat="1" applyFont="1" applyBorder="1" applyAlignment="1">
      <alignment vertical="center"/>
    </xf>
    <xf numFmtId="3" fontId="53" fillId="0" borderId="31" xfId="0" applyNumberFormat="1" applyFont="1" applyBorder="1" applyAlignment="1">
      <alignment vertical="center"/>
    </xf>
    <xf numFmtId="0" fontId="41" fillId="0" borderId="31" xfId="0" applyFont="1" applyBorder="1"/>
    <xf numFmtId="0" fontId="41" fillId="0" borderId="56" xfId="0" applyFont="1" applyBorder="1"/>
    <xf numFmtId="0" fontId="43" fillId="0" borderId="24" xfId="0" applyFont="1" applyBorder="1" applyAlignment="1">
      <alignment horizontal="left" vertical="center" wrapText="1"/>
    </xf>
    <xf numFmtId="3" fontId="43" fillId="0" borderId="24" xfId="0" applyNumberFormat="1" applyFont="1" applyBorder="1" applyAlignment="1">
      <alignment horizontal="center" vertical="center"/>
    </xf>
    <xf numFmtId="3" fontId="43" fillId="0" borderId="24" xfId="0" applyNumberFormat="1" applyFont="1" applyBorder="1" applyAlignment="1">
      <alignment horizontal="right" vertical="center"/>
    </xf>
    <xf numFmtId="3" fontId="53" fillId="0" borderId="24" xfId="0" applyNumberFormat="1" applyFont="1" applyBorder="1" applyAlignment="1">
      <alignment horizontal="right" vertical="center"/>
    </xf>
    <xf numFmtId="0" fontId="43" fillId="0" borderId="45" xfId="0" applyFont="1" applyBorder="1" applyAlignment="1">
      <alignment wrapText="1"/>
    </xf>
    <xf numFmtId="3" fontId="20" fillId="0" borderId="45" xfId="0" applyNumberFormat="1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42" fillId="0" borderId="45" xfId="0" applyFont="1" applyBorder="1"/>
    <xf numFmtId="0" fontId="44" fillId="0" borderId="31" xfId="0" applyFont="1" applyBorder="1" applyAlignment="1">
      <alignment wrapText="1"/>
    </xf>
    <xf numFmtId="0" fontId="44" fillId="0" borderId="31" xfId="0" applyFont="1" applyBorder="1"/>
    <xf numFmtId="0" fontId="20" fillId="0" borderId="60" xfId="0" applyFont="1" applyBorder="1" applyAlignment="1">
      <alignment horizontal="center" vertical="center"/>
    </xf>
    <xf numFmtId="0" fontId="43" fillId="0" borderId="25" xfId="0" applyFont="1" applyBorder="1" applyAlignment="1">
      <alignment vertical="center" wrapText="1"/>
    </xf>
    <xf numFmtId="3" fontId="20" fillId="0" borderId="25" xfId="0" applyNumberFormat="1" applyFont="1" applyBorder="1" applyAlignment="1">
      <alignment vertical="center"/>
    </xf>
    <xf numFmtId="3" fontId="53" fillId="0" borderId="25" xfId="0" applyNumberFormat="1" applyFont="1" applyBorder="1" applyAlignment="1">
      <alignment vertical="center"/>
    </xf>
    <xf numFmtId="0" fontId="42" fillId="0" borderId="25" xfId="0" applyFont="1" applyBorder="1"/>
    <xf numFmtId="0" fontId="42" fillId="0" borderId="21" xfId="0" applyFont="1" applyBorder="1"/>
    <xf numFmtId="0" fontId="90" fillId="0" borderId="117" xfId="0" applyFont="1" applyBorder="1" applyAlignment="1">
      <alignment horizontal="center"/>
    </xf>
    <xf numFmtId="0" fontId="90" fillId="0" borderId="15" xfId="0" applyFont="1" applyBorder="1" applyAlignment="1">
      <alignment horizontal="center"/>
    </xf>
    <xf numFmtId="0" fontId="82" fillId="0" borderId="0" xfId="0" applyFont="1" applyBorder="1"/>
    <xf numFmtId="0" fontId="85" fillId="0" borderId="0" xfId="0" applyFont="1" applyBorder="1"/>
    <xf numFmtId="0" fontId="85" fillId="0" borderId="0" xfId="0" applyFont="1" applyFill="1" applyBorder="1"/>
    <xf numFmtId="3" fontId="91" fillId="0" borderId="15" xfId="0" applyNumberFormat="1" applyFont="1" applyBorder="1" applyAlignment="1">
      <alignment horizontal="center" vertical="center" wrapText="1"/>
    </xf>
    <xf numFmtId="3" fontId="91" fillId="0" borderId="52" xfId="0" applyNumberFormat="1" applyFont="1" applyBorder="1" applyAlignment="1">
      <alignment horizontal="center" vertical="center" wrapText="1"/>
    </xf>
    <xf numFmtId="0" fontId="69" fillId="0" borderId="24" xfId="0" applyFont="1" applyBorder="1" applyAlignment="1">
      <alignment horizontal="center" vertical="center"/>
    </xf>
    <xf numFmtId="1" fontId="58" fillId="0" borderId="23" xfId="0" applyNumberFormat="1" applyFont="1" applyBorder="1" applyAlignment="1">
      <alignment horizontal="center" vertical="center"/>
    </xf>
    <xf numFmtId="0" fontId="58" fillId="0" borderId="23" xfId="0" applyFont="1" applyBorder="1" applyAlignment="1">
      <alignment horizontal="left" vertical="center" wrapText="1"/>
    </xf>
    <xf numFmtId="3" fontId="93" fillId="0" borderId="23" xfId="0" applyNumberFormat="1" applyFont="1" applyBorder="1" applyAlignment="1">
      <alignment horizontal="center" vertical="center" wrapText="1"/>
    </xf>
    <xf numFmtId="3" fontId="82" fillId="0" borderId="23" xfId="0" applyNumberFormat="1" applyFont="1" applyBorder="1" applyAlignment="1">
      <alignment horizontal="center" vertical="center" wrapText="1"/>
    </xf>
    <xf numFmtId="0" fontId="131" fillId="0" borderId="23" xfId="0" applyFont="1" applyBorder="1"/>
    <xf numFmtId="0" fontId="132" fillId="0" borderId="23" xfId="0" applyFont="1" applyBorder="1"/>
    <xf numFmtId="0" fontId="58" fillId="0" borderId="23" xfId="0" applyFont="1" applyBorder="1" applyAlignment="1">
      <alignment horizontal="left" vertical="center"/>
    </xf>
    <xf numFmtId="3" fontId="58" fillId="0" borderId="23" xfId="0" applyNumberFormat="1" applyFont="1" applyBorder="1" applyAlignment="1">
      <alignment horizontal="left" vertical="center" wrapText="1"/>
    </xf>
    <xf numFmtId="3" fontId="59" fillId="0" borderId="23" xfId="0" applyNumberFormat="1" applyFont="1" applyBorder="1" applyAlignment="1">
      <alignment horizontal="center" vertical="center" wrapText="1"/>
    </xf>
    <xf numFmtId="3" fontId="58" fillId="0" borderId="23" xfId="0" applyNumberFormat="1" applyFont="1" applyBorder="1" applyAlignment="1">
      <alignment horizontal="right" vertical="center" wrapText="1"/>
    </xf>
    <xf numFmtId="3" fontId="58" fillId="0" borderId="23" xfId="0" applyNumberFormat="1" applyFont="1" applyBorder="1" applyAlignment="1">
      <alignment vertical="center"/>
    </xf>
    <xf numFmtId="0" fontId="89" fillId="0" borderId="23" xfId="0" applyFont="1" applyBorder="1"/>
    <xf numFmtId="0" fontId="119" fillId="0" borderId="23" xfId="0" applyFont="1" applyBorder="1"/>
    <xf numFmtId="0" fontId="89" fillId="0" borderId="23" xfId="0" applyFont="1" applyBorder="1" applyAlignment="1">
      <alignment horizontal="center"/>
    </xf>
    <xf numFmtId="0" fontId="58" fillId="0" borderId="23" xfId="0" applyFont="1" applyFill="1" applyBorder="1"/>
    <xf numFmtId="3" fontId="58" fillId="0" borderId="23" xfId="0" applyNumberFormat="1" applyFont="1" applyFill="1" applyBorder="1"/>
    <xf numFmtId="0" fontId="57" fillId="0" borderId="23" xfId="0" applyFont="1" applyFill="1" applyBorder="1"/>
    <xf numFmtId="0" fontId="89" fillId="0" borderId="23" xfId="0" applyFont="1" applyFill="1" applyBorder="1"/>
    <xf numFmtId="0" fontId="111" fillId="0" borderId="23" xfId="0" applyFont="1" applyBorder="1"/>
    <xf numFmtId="3" fontId="58" fillId="0" borderId="23" xfId="0" applyNumberFormat="1" applyFont="1" applyBorder="1" applyAlignment="1">
      <alignment horizontal="right" vertical="center"/>
    </xf>
    <xf numFmtId="0" fontId="58" fillId="0" borderId="23" xfId="0" applyFont="1" applyBorder="1" applyAlignment="1">
      <alignment wrapText="1"/>
    </xf>
    <xf numFmtId="3" fontId="151" fillId="0" borderId="23" xfId="0" applyNumberFormat="1" applyFont="1" applyBorder="1"/>
    <xf numFmtId="3" fontId="145" fillId="0" borderId="23" xfId="0" applyNumberFormat="1" applyFont="1" applyBorder="1"/>
    <xf numFmtId="0" fontId="58" fillId="0" borderId="23" xfId="0" applyFont="1" applyBorder="1" applyAlignment="1">
      <alignment vertical="center" wrapText="1"/>
    </xf>
    <xf numFmtId="3" fontId="93" fillId="0" borderId="84" xfId="0" applyNumberFormat="1" applyFont="1" applyBorder="1" applyAlignment="1">
      <alignment horizontal="center" vertical="center" wrapText="1"/>
    </xf>
    <xf numFmtId="3" fontId="59" fillId="0" borderId="84" xfId="0" applyNumberFormat="1" applyFont="1" applyBorder="1" applyAlignment="1">
      <alignment horizontal="center" vertical="center" wrapText="1"/>
    </xf>
    <xf numFmtId="3" fontId="58" fillId="0" borderId="84" xfId="0" applyNumberFormat="1" applyFont="1" applyBorder="1"/>
    <xf numFmtId="3" fontId="58" fillId="0" borderId="84" xfId="0" applyNumberFormat="1" applyFont="1" applyFill="1" applyBorder="1"/>
    <xf numFmtId="3" fontId="58" fillId="0" borderId="84" xfId="0" applyNumberFormat="1" applyFont="1" applyBorder="1" applyAlignment="1">
      <alignment horizontal="right" vertical="center"/>
    </xf>
    <xf numFmtId="3" fontId="58" fillId="0" borderId="84" xfId="0" applyNumberFormat="1" applyFont="1" applyBorder="1" applyAlignment="1">
      <alignment vertical="center"/>
    </xf>
    <xf numFmtId="3" fontId="58" fillId="0" borderId="84" xfId="0" applyNumberFormat="1" applyFont="1" applyBorder="1" applyAlignment="1">
      <alignment horizontal="right" vertical="center" wrapText="1"/>
    </xf>
    <xf numFmtId="3" fontId="59" fillId="0" borderId="84" xfId="0" applyNumberFormat="1" applyFont="1" applyBorder="1"/>
    <xf numFmtId="3" fontId="69" fillId="0" borderId="110" xfId="0" applyNumberFormat="1" applyFont="1" applyBorder="1" applyAlignment="1">
      <alignment horizontal="center" vertical="center" wrapText="1"/>
    </xf>
    <xf numFmtId="3" fontId="93" fillId="0" borderId="109" xfId="0" applyNumberFormat="1" applyFont="1" applyBorder="1" applyAlignment="1">
      <alignment horizontal="center" vertical="center" wrapText="1"/>
    </xf>
    <xf numFmtId="3" fontId="59" fillId="0" borderId="109" xfId="0" applyNumberFormat="1" applyFont="1" applyBorder="1" applyAlignment="1">
      <alignment horizontal="center" vertical="center" wrapText="1"/>
    </xf>
    <xf numFmtId="3" fontId="58" fillId="0" borderId="109" xfId="0" applyNumberFormat="1" applyFont="1" applyBorder="1"/>
    <xf numFmtId="3" fontId="58" fillId="0" borderId="109" xfId="0" applyNumberFormat="1" applyFont="1" applyFill="1" applyBorder="1"/>
    <xf numFmtId="3" fontId="58" fillId="0" borderId="109" xfId="0" applyNumberFormat="1" applyFont="1" applyBorder="1" applyAlignment="1">
      <alignment horizontal="right" vertical="center"/>
    </xf>
    <xf numFmtId="3" fontId="58" fillId="0" borderId="109" xfId="0" applyNumberFormat="1" applyFont="1" applyBorder="1" applyAlignment="1">
      <alignment vertical="center"/>
    </xf>
    <xf numFmtId="3" fontId="58" fillId="0" borderId="109" xfId="0" applyNumberFormat="1" applyFont="1" applyBorder="1" applyAlignment="1">
      <alignment horizontal="right" vertical="center" wrapText="1"/>
    </xf>
    <xf numFmtId="3" fontId="82" fillId="0" borderId="84" xfId="0" applyNumberFormat="1" applyFont="1" applyBorder="1" applyAlignment="1">
      <alignment horizontal="center" vertical="center" wrapText="1"/>
    </xf>
    <xf numFmtId="3" fontId="145" fillId="0" borderId="84" xfId="0" applyNumberFormat="1" applyFont="1" applyBorder="1"/>
    <xf numFmtId="3" fontId="145" fillId="0" borderId="109" xfId="0" applyNumberFormat="1" applyFont="1" applyBorder="1"/>
    <xf numFmtId="3" fontId="58" fillId="0" borderId="84" xfId="0" applyNumberFormat="1" applyFont="1" applyBorder="1" applyAlignment="1">
      <alignment horizontal="center" vertical="center" wrapText="1"/>
    </xf>
    <xf numFmtId="3" fontId="91" fillId="0" borderId="115" xfId="0" applyNumberFormat="1" applyFont="1" applyBorder="1" applyAlignment="1">
      <alignment horizontal="center" vertical="center" wrapText="1"/>
    </xf>
    <xf numFmtId="0" fontId="156" fillId="0" borderId="60" xfId="0" applyFont="1" applyBorder="1" applyAlignment="1">
      <alignment vertical="center" wrapText="1"/>
    </xf>
    <xf numFmtId="3" fontId="59" fillId="0" borderId="84" xfId="0" applyNumberFormat="1" applyFont="1" applyBorder="1" applyAlignment="1">
      <alignment vertical="center"/>
    </xf>
    <xf numFmtId="3" fontId="58" fillId="0" borderId="109" xfId="0" applyNumberFormat="1" applyFont="1" applyBorder="1" applyAlignment="1">
      <alignment horizontal="center" vertical="center" wrapText="1"/>
    </xf>
    <xf numFmtId="3" fontId="59" fillId="0" borderId="84" xfId="0" applyNumberFormat="1" applyFont="1" applyFill="1" applyBorder="1"/>
    <xf numFmtId="3" fontId="59" fillId="0" borderId="84" xfId="0" applyNumberFormat="1" applyFont="1" applyBorder="1" applyAlignment="1">
      <alignment horizontal="right" vertical="center"/>
    </xf>
    <xf numFmtId="1" fontId="58" fillId="0" borderId="24" xfId="0" applyNumberFormat="1" applyFont="1" applyBorder="1" applyAlignment="1">
      <alignment horizontal="center" vertical="center"/>
    </xf>
    <xf numFmtId="0" fontId="58" fillId="0" borderId="24" xfId="0" applyFont="1" applyBorder="1" applyAlignment="1">
      <alignment vertical="center" wrapText="1"/>
    </xf>
    <xf numFmtId="3" fontId="58" fillId="0" borderId="24" xfId="0" applyNumberFormat="1" applyFont="1" applyBorder="1" applyAlignment="1">
      <alignment vertical="center"/>
    </xf>
    <xf numFmtId="3" fontId="58" fillId="0" borderId="110" xfId="0" applyNumberFormat="1" applyFont="1" applyBorder="1" applyAlignment="1">
      <alignment vertical="center"/>
    </xf>
    <xf numFmtId="3" fontId="58" fillId="0" borderId="74" xfId="0" applyNumberFormat="1" applyFont="1" applyBorder="1" applyAlignment="1">
      <alignment vertical="center"/>
    </xf>
    <xf numFmtId="3" fontId="59" fillId="0" borderId="74" xfId="0" applyNumberFormat="1" applyFont="1" applyBorder="1" applyAlignment="1">
      <alignment vertical="center"/>
    </xf>
    <xf numFmtId="0" fontId="57" fillId="0" borderId="24" xfId="0" applyFont="1" applyBorder="1"/>
    <xf numFmtId="0" fontId="89" fillId="0" borderId="24" xfId="0" applyFont="1" applyBorder="1"/>
    <xf numFmtId="3" fontId="57" fillId="0" borderId="31" xfId="0" applyNumberFormat="1" applyFont="1" applyBorder="1"/>
    <xf numFmtId="0" fontId="89" fillId="0" borderId="56" xfId="0" applyFont="1" applyBorder="1"/>
    <xf numFmtId="3" fontId="91" fillId="0" borderId="74" xfId="0" applyNumberFormat="1" applyFont="1" applyBorder="1" applyAlignment="1">
      <alignment horizontal="center" vertical="center" wrapText="1"/>
    </xf>
    <xf numFmtId="3" fontId="69" fillId="0" borderId="129" xfId="0" applyNumberFormat="1" applyFont="1" applyBorder="1" applyAlignment="1">
      <alignment horizontal="center" vertical="center" wrapText="1"/>
    </xf>
    <xf numFmtId="3" fontId="93" fillId="0" borderId="128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left" vertical="center" wrapText="1"/>
    </xf>
    <xf numFmtId="3" fontId="58" fillId="0" borderId="128" xfId="0" applyNumberFormat="1" applyFont="1" applyBorder="1"/>
    <xf numFmtId="3" fontId="58" fillId="0" borderId="128" xfId="0" applyNumberFormat="1" applyFont="1" applyFill="1" applyBorder="1"/>
    <xf numFmtId="3" fontId="58" fillId="0" borderId="128" xfId="0" applyNumberFormat="1" applyFont="1" applyBorder="1" applyAlignment="1">
      <alignment horizontal="right" vertical="center"/>
    </xf>
    <xf numFmtId="3" fontId="58" fillId="0" borderId="128" xfId="0" applyNumberFormat="1" applyFont="1" applyBorder="1" applyAlignment="1">
      <alignment vertical="center"/>
    </xf>
    <xf numFmtId="3" fontId="58" fillId="0" borderId="128" xfId="0" applyNumberFormat="1" applyFont="1" applyBorder="1" applyAlignment="1">
      <alignment horizontal="right" vertical="center" wrapText="1"/>
    </xf>
    <xf numFmtId="3" fontId="151" fillId="0" borderId="128" xfId="0" applyNumberFormat="1" applyFont="1" applyBorder="1"/>
    <xf numFmtId="3" fontId="58" fillId="0" borderId="129" xfId="0" applyNumberFormat="1" applyFont="1" applyBorder="1" applyAlignment="1">
      <alignment vertical="center"/>
    </xf>
    <xf numFmtId="3" fontId="59" fillId="0" borderId="130" xfId="0" applyNumberFormat="1" applyFont="1" applyBorder="1"/>
    <xf numFmtId="3" fontId="59" fillId="0" borderId="128" xfId="0" applyNumberFormat="1" applyFont="1" applyBorder="1" applyAlignment="1">
      <alignment horizontal="center" vertical="center" wrapText="1"/>
    </xf>
    <xf numFmtId="3" fontId="82" fillId="0" borderId="128" xfId="0" applyNumberFormat="1" applyFont="1" applyBorder="1" applyAlignment="1">
      <alignment horizontal="center" vertical="center" wrapText="1"/>
    </xf>
    <xf numFmtId="3" fontId="145" fillId="0" borderId="128" xfId="0" applyNumberFormat="1" applyFont="1" applyBorder="1"/>
    <xf numFmtId="3" fontId="69" fillId="0" borderId="131" xfId="0" applyNumberFormat="1" applyFont="1" applyBorder="1" applyAlignment="1">
      <alignment horizontal="center" vertical="center" wrapText="1"/>
    </xf>
    <xf numFmtId="1" fontId="48" fillId="24" borderId="12" xfId="0" applyNumberFormat="1" applyFont="1" applyFill="1" applyBorder="1" applyAlignment="1">
      <alignment horizontal="right" vertical="center"/>
    </xf>
    <xf numFmtId="1" fontId="157" fillId="24" borderId="12" xfId="0" applyNumberFormat="1" applyFont="1" applyFill="1" applyBorder="1" applyAlignment="1">
      <alignment horizontal="right" vertical="center"/>
    </xf>
    <xf numFmtId="2" fontId="48" fillId="24" borderId="12" xfId="0" applyNumberFormat="1" applyFont="1" applyFill="1" applyBorder="1" applyAlignment="1">
      <alignment horizontal="right" vertical="center"/>
    </xf>
    <xf numFmtId="0" fontId="157" fillId="0" borderId="12" xfId="0" applyFont="1" applyBorder="1" applyAlignment="1">
      <alignment horizontal="right"/>
    </xf>
    <xf numFmtId="167" fontId="157" fillId="0" borderId="12" xfId="0" applyNumberFormat="1" applyFont="1" applyBorder="1" applyAlignment="1">
      <alignment horizontal="right"/>
    </xf>
    <xf numFmtId="2" fontId="157" fillId="24" borderId="12" xfId="0" applyNumberFormat="1" applyFont="1" applyFill="1" applyBorder="1" applyAlignment="1">
      <alignment horizontal="right" vertical="center"/>
    </xf>
    <xf numFmtId="1" fontId="157" fillId="0" borderId="12" xfId="0" applyNumberFormat="1" applyFont="1" applyBorder="1" applyAlignment="1">
      <alignment horizontal="right"/>
    </xf>
    <xf numFmtId="1" fontId="48" fillId="0" borderId="27" xfId="0" applyNumberFormat="1" applyFont="1" applyBorder="1" applyAlignment="1">
      <alignment horizontal="right"/>
    </xf>
    <xf numFmtId="0" fontId="28" fillId="0" borderId="0" xfId="0" applyFont="1" applyBorder="1" applyAlignment="1">
      <alignment horizontal="center"/>
    </xf>
    <xf numFmtId="0" fontId="64" fillId="0" borderId="0" xfId="0" applyFont="1" applyBorder="1"/>
    <xf numFmtId="3" fontId="64" fillId="0" borderId="0" xfId="0" applyNumberFormat="1" applyFont="1" applyBorder="1"/>
    <xf numFmtId="3" fontId="30" fillId="0" borderId="0" xfId="0" applyNumberFormat="1" applyFont="1" applyBorder="1"/>
    <xf numFmtId="3" fontId="35" fillId="0" borderId="0" xfId="0" applyNumberFormat="1" applyFont="1" applyBorder="1"/>
    <xf numFmtId="3" fontId="58" fillId="0" borderId="0" xfId="74" applyNumberFormat="1" applyFont="1" applyBorder="1"/>
    <xf numFmtId="0" fontId="57" fillId="0" borderId="0" xfId="0" applyFont="1" applyBorder="1" applyAlignment="1">
      <alignment wrapText="1"/>
    </xf>
    <xf numFmtId="3" fontId="96" fillId="0" borderId="0" xfId="0" applyNumberFormat="1" applyFont="1" applyBorder="1"/>
    <xf numFmtId="3" fontId="57" fillId="0" borderId="0" xfId="74" applyNumberFormat="1" applyFont="1" applyBorder="1"/>
    <xf numFmtId="0" fontId="28" fillId="0" borderId="0" xfId="0" applyFont="1" applyBorder="1"/>
    <xf numFmtId="0" fontId="66" fillId="0" borderId="0" xfId="0" applyFont="1" applyBorder="1"/>
    <xf numFmtId="3" fontId="68" fillId="0" borderId="0" xfId="0" applyNumberFormat="1" applyFont="1" applyBorder="1"/>
    <xf numFmtId="3" fontId="34" fillId="0" borderId="0" xfId="0" applyNumberFormat="1" applyFont="1" applyBorder="1"/>
    <xf numFmtId="3" fontId="39" fillId="0" borderId="0" xfId="0" applyNumberFormat="1" applyFont="1" applyBorder="1"/>
    <xf numFmtId="0" fontId="34" fillId="0" borderId="0" xfId="0" applyFont="1" applyBorder="1"/>
    <xf numFmtId="3" fontId="63" fillId="0" borderId="0" xfId="74" applyNumberFormat="1" applyFont="1" applyBorder="1"/>
    <xf numFmtId="0" fontId="30" fillId="0" borderId="0" xfId="0" applyFont="1" applyBorder="1"/>
    <xf numFmtId="0" fontId="68" fillId="0" borderId="0" xfId="0" applyFont="1" applyBorder="1"/>
    <xf numFmtId="3" fontId="38" fillId="0" borderId="0" xfId="0" applyNumberFormat="1" applyFont="1" applyBorder="1"/>
    <xf numFmtId="3" fontId="66" fillId="0" borderId="0" xfId="0" applyNumberFormat="1" applyFont="1" applyBorder="1"/>
    <xf numFmtId="3" fontId="57" fillId="0" borderId="0" xfId="0" applyNumberFormat="1" applyFont="1" applyBorder="1" applyAlignment="1">
      <alignment wrapText="1"/>
    </xf>
    <xf numFmtId="3" fontId="64" fillId="0" borderId="0" xfId="0" applyNumberFormat="1" applyFont="1" applyBorder="1" applyAlignment="1">
      <alignment wrapText="1"/>
    </xf>
    <xf numFmtId="3" fontId="92" fillId="0" borderId="0" xfId="0" applyNumberFormat="1" applyFont="1" applyBorder="1"/>
    <xf numFmtId="3" fontId="25" fillId="0" borderId="55" xfId="0" applyNumberFormat="1" applyFont="1" applyBorder="1"/>
    <xf numFmtId="3" fontId="57" fillId="0" borderId="55" xfId="0" applyNumberFormat="1" applyFont="1" applyBorder="1"/>
    <xf numFmtId="3" fontId="58" fillId="0" borderId="55" xfId="0" applyNumberFormat="1" applyFont="1" applyBorder="1"/>
    <xf numFmtId="3" fontId="57" fillId="0" borderId="55" xfId="74" applyNumberFormat="1" applyFont="1" applyBorder="1"/>
    <xf numFmtId="3" fontId="68" fillId="0" borderId="55" xfId="0" applyNumberFormat="1" applyFont="1" applyBorder="1"/>
    <xf numFmtId="3" fontId="64" fillId="0" borderId="55" xfId="0" applyNumberFormat="1" applyFont="1" applyBorder="1"/>
    <xf numFmtId="3" fontId="38" fillId="0" borderId="55" xfId="0" applyNumberFormat="1" applyFont="1" applyBorder="1"/>
    <xf numFmtId="3" fontId="28" fillId="0" borderId="55" xfId="0" applyNumberFormat="1" applyFont="1" applyBorder="1"/>
    <xf numFmtId="3" fontId="64" fillId="0" borderId="55" xfId="0" applyNumberFormat="1" applyFont="1" applyBorder="1" applyAlignment="1">
      <alignment wrapText="1"/>
    </xf>
    <xf numFmtId="0" fontId="25" fillId="0" borderId="133" xfId="0" applyFont="1" applyBorder="1" applyAlignment="1">
      <alignment horizontal="center" vertical="center"/>
    </xf>
    <xf numFmtId="0" fontId="25" fillId="0" borderId="13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3" fontId="69" fillId="0" borderId="50" xfId="0" applyNumberFormat="1" applyFont="1" applyBorder="1" applyAlignment="1">
      <alignment horizontal="center" vertical="center" wrapText="1"/>
    </xf>
    <xf numFmtId="3" fontId="69" fillId="0" borderId="51" xfId="0" applyNumberFormat="1" applyFont="1" applyBorder="1" applyAlignment="1">
      <alignment horizontal="center" vertical="center" wrapText="1"/>
    </xf>
    <xf numFmtId="3" fontId="69" fillId="0" borderId="138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 applyAlignment="1">
      <alignment horizontal="center" vertical="center"/>
    </xf>
    <xf numFmtId="3" fontId="93" fillId="0" borderId="50" xfId="0" applyNumberFormat="1" applyFont="1" applyBorder="1" applyAlignment="1">
      <alignment horizontal="center" vertical="center" wrapText="1"/>
    </xf>
    <xf numFmtId="3" fontId="93" fillId="0" borderId="51" xfId="0" applyNumberFormat="1" applyFont="1" applyBorder="1" applyAlignment="1">
      <alignment horizontal="center" vertical="center" wrapText="1"/>
    </xf>
    <xf numFmtId="3" fontId="69" fillId="0" borderId="139" xfId="0" applyNumberFormat="1" applyFont="1" applyBorder="1" applyAlignment="1">
      <alignment horizontal="center" vertical="center" wrapText="1"/>
    </xf>
    <xf numFmtId="0" fontId="35" fillId="0" borderId="54" xfId="0" applyFont="1" applyBorder="1"/>
    <xf numFmtId="0" fontId="35" fillId="0" borderId="55" xfId="0" applyFont="1" applyBorder="1"/>
    <xf numFmtId="0" fontId="66" fillId="0" borderId="55" xfId="0" applyFont="1" applyBorder="1"/>
    <xf numFmtId="0" fontId="30" fillId="0" borderId="55" xfId="0" applyFont="1" applyBorder="1"/>
    <xf numFmtId="3" fontId="35" fillId="0" borderId="55" xfId="0" applyNumberFormat="1" applyFont="1" applyBorder="1"/>
    <xf numFmtId="0" fontId="25" fillId="0" borderId="63" xfId="0" applyFont="1" applyBorder="1"/>
    <xf numFmtId="3" fontId="30" fillId="0" borderId="56" xfId="0" applyNumberFormat="1" applyFont="1" applyBorder="1"/>
    <xf numFmtId="3" fontId="59" fillId="0" borderId="0" xfId="0" applyNumberFormat="1" applyFont="1" applyBorder="1"/>
    <xf numFmtId="3" fontId="59" fillId="0" borderId="55" xfId="0" applyNumberFormat="1" applyFont="1" applyBorder="1"/>
    <xf numFmtId="3" fontId="138" fillId="0" borderId="0" xfId="0" applyNumberFormat="1" applyFont="1" applyBorder="1"/>
    <xf numFmtId="3" fontId="138" fillId="0" borderId="55" xfId="0" applyNumberFormat="1" applyFont="1" applyBorder="1"/>
    <xf numFmtId="3" fontId="140" fillId="0" borderId="0" xfId="0" applyNumberFormat="1" applyFont="1" applyBorder="1"/>
    <xf numFmtId="3" fontId="140" fillId="0" borderId="55" xfId="0" applyNumberFormat="1" applyFont="1" applyBorder="1"/>
    <xf numFmtId="3" fontId="30" fillId="0" borderId="26" xfId="0" applyNumberFormat="1" applyFont="1" applyBorder="1"/>
    <xf numFmtId="3" fontId="30" fillId="0" borderId="72" xfId="0" applyNumberFormat="1" applyFont="1" applyBorder="1"/>
    <xf numFmtId="3" fontId="25" fillId="0" borderId="105" xfId="0" applyNumberFormat="1" applyFont="1" applyBorder="1"/>
    <xf numFmtId="3" fontId="64" fillId="0" borderId="142" xfId="0" applyNumberFormat="1" applyFont="1" applyBorder="1"/>
    <xf numFmtId="3" fontId="39" fillId="0" borderId="55" xfId="0" applyNumberFormat="1" applyFont="1" applyBorder="1"/>
    <xf numFmtId="3" fontId="66" fillId="0" borderId="55" xfId="0" applyNumberFormat="1" applyFont="1" applyBorder="1"/>
    <xf numFmtId="3" fontId="30" fillId="0" borderId="55" xfId="0" applyNumberFormat="1" applyFont="1" applyBorder="1"/>
    <xf numFmtId="3" fontId="63" fillId="0" borderId="55" xfId="74" applyNumberFormat="1" applyFont="1" applyBorder="1"/>
    <xf numFmtId="0" fontId="25" fillId="0" borderId="65" xfId="0" applyFont="1" applyBorder="1" applyAlignment="1">
      <alignment horizontal="center" vertical="center" wrapText="1"/>
    </xf>
    <xf numFmtId="3" fontId="25" fillId="0" borderId="0" xfId="74" applyNumberFormat="1" applyFont="1" applyBorder="1"/>
    <xf numFmtId="0" fontId="25" fillId="0" borderId="135" xfId="0" applyFont="1" applyBorder="1" applyAlignment="1">
      <alignment horizontal="center" vertical="center"/>
    </xf>
    <xf numFmtId="3" fontId="25" fillId="0" borderId="65" xfId="0" applyNumberFormat="1" applyFont="1" applyBorder="1" applyAlignment="1">
      <alignment horizontal="center" vertical="center" wrapText="1"/>
    </xf>
    <xf numFmtId="3" fontId="69" fillId="0" borderId="94" xfId="0" applyNumberFormat="1" applyFont="1" applyBorder="1" applyAlignment="1">
      <alignment horizontal="center" vertical="center" wrapText="1"/>
    </xf>
    <xf numFmtId="3" fontId="25" fillId="0" borderId="56" xfId="0" applyNumberFormat="1" applyFont="1" applyBorder="1"/>
    <xf numFmtId="3" fontId="30" fillId="0" borderId="145" xfId="0" applyNumberFormat="1" applyFont="1" applyBorder="1"/>
    <xf numFmtId="3" fontId="138" fillId="0" borderId="0" xfId="74" applyNumberFormat="1" applyFont="1" applyBorder="1"/>
    <xf numFmtId="3" fontId="138" fillId="0" borderId="55" xfId="74" applyNumberFormat="1" applyFont="1" applyBorder="1"/>
    <xf numFmtId="0" fontId="30" fillId="0" borderId="55" xfId="0" applyFont="1" applyBorder="1" applyAlignment="1">
      <alignment horizontal="center" vertical="center"/>
    </xf>
    <xf numFmtId="3" fontId="25" fillId="0" borderId="68" xfId="0" applyNumberFormat="1" applyFont="1" applyBorder="1"/>
    <xf numFmtId="0" fontId="28" fillId="0" borderId="92" xfId="0" applyFont="1" applyBorder="1" applyAlignment="1">
      <alignment horizontal="center"/>
    </xf>
    <xf numFmtId="0" fontId="92" fillId="0" borderId="0" xfId="0" applyFont="1" applyBorder="1"/>
    <xf numFmtId="3" fontId="35" fillId="0" borderId="0" xfId="74" applyNumberFormat="1" applyFont="1" applyBorder="1"/>
    <xf numFmtId="3" fontId="39" fillId="0" borderId="0" xfId="74" applyNumberFormat="1" applyFont="1" applyBorder="1"/>
    <xf numFmtId="3" fontId="58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82" fillId="0" borderId="0" xfId="0" applyNumberFormat="1" applyFont="1" applyBorder="1"/>
    <xf numFmtId="3" fontId="128" fillId="0" borderId="0" xfId="0" applyNumberFormat="1" applyFont="1" applyBorder="1"/>
    <xf numFmtId="16" fontId="57" fillId="0" borderId="0" xfId="0" applyNumberFormat="1" applyFont="1" applyBorder="1"/>
    <xf numFmtId="3" fontId="58" fillId="0" borderId="0" xfId="0" applyNumberFormat="1" applyFont="1" applyBorder="1" applyAlignment="1">
      <alignment vertical="center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25" fillId="0" borderId="56" xfId="0" applyNumberFormat="1" applyFont="1" applyFill="1" applyBorder="1"/>
    <xf numFmtId="0" fontId="30" fillId="0" borderId="63" xfId="0" applyFont="1" applyBorder="1"/>
    <xf numFmtId="3" fontId="39" fillId="0" borderId="55" xfId="74" applyNumberFormat="1" applyFont="1" applyBorder="1"/>
    <xf numFmtId="3" fontId="58" fillId="0" borderId="55" xfId="0" applyNumberFormat="1" applyFont="1" applyBorder="1" applyAlignment="1">
      <alignment vertical="center" wrapText="1"/>
    </xf>
    <xf numFmtId="3" fontId="58" fillId="0" borderId="55" xfId="0" applyNumberFormat="1" applyFont="1" applyBorder="1" applyAlignment="1">
      <alignment wrapText="1"/>
    </xf>
    <xf numFmtId="3" fontId="30" fillId="0" borderId="56" xfId="0" applyNumberFormat="1" applyFont="1" applyFill="1" applyBorder="1"/>
    <xf numFmtId="3" fontId="34" fillId="0" borderId="55" xfId="0" applyNumberFormat="1" applyFont="1" applyBorder="1"/>
    <xf numFmtId="0" fontId="25" fillId="0" borderId="0" xfId="0" applyFont="1" applyBorder="1" applyAlignment="1">
      <alignment wrapText="1"/>
    </xf>
    <xf numFmtId="3" fontId="92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55" xfId="0" applyFont="1" applyBorder="1" applyAlignment="1">
      <alignment vertical="center"/>
    </xf>
    <xf numFmtId="0" fontId="35" fillId="0" borderId="68" xfId="0" applyFont="1" applyBorder="1"/>
    <xf numFmtId="3" fontId="25" fillId="0" borderId="0" xfId="0" applyNumberFormat="1" applyFont="1" applyBorder="1" applyAlignment="1">
      <alignment vertical="center"/>
    </xf>
    <xf numFmtId="0" fontId="35" fillId="0" borderId="55" xfId="0" applyFont="1" applyBorder="1" applyAlignment="1"/>
    <xf numFmtId="0" fontId="28" fillId="0" borderId="90" xfId="0" applyFont="1" applyBorder="1" applyAlignment="1">
      <alignment horizontal="center"/>
    </xf>
    <xf numFmtId="0" fontId="28" fillId="0" borderId="91" xfId="0" applyFont="1" applyBorder="1" applyAlignment="1">
      <alignment horizontal="center"/>
    </xf>
    <xf numFmtId="0" fontId="28" fillId="0" borderId="91" xfId="0" applyFont="1" applyBorder="1" applyAlignment="1">
      <alignment horizontal="center" vertical="center"/>
    </xf>
    <xf numFmtId="0" fontId="25" fillId="0" borderId="146" xfId="0" applyFont="1" applyBorder="1" applyAlignment="1">
      <alignment horizontal="center" vertical="center"/>
    </xf>
    <xf numFmtId="0" fontId="64" fillId="0" borderId="21" xfId="0" applyFont="1" applyBorder="1"/>
    <xf numFmtId="0" fontId="57" fillId="0" borderId="21" xfId="0" applyFont="1" applyBorder="1"/>
    <xf numFmtId="0" fontId="92" fillId="0" borderId="21" xfId="0" applyFont="1" applyBorder="1"/>
    <xf numFmtId="16" fontId="57" fillId="0" borderId="21" xfId="0" applyNumberFormat="1" applyFont="1" applyBorder="1"/>
    <xf numFmtId="0" fontId="63" fillId="0" borderId="21" xfId="0" applyFont="1" applyBorder="1"/>
    <xf numFmtId="0" fontId="28" fillId="0" borderId="21" xfId="0" applyFont="1" applyBorder="1"/>
    <xf numFmtId="0" fontId="34" fillId="0" borderId="21" xfId="0" applyFont="1" applyBorder="1"/>
    <xf numFmtId="3" fontId="34" fillId="0" borderId="0" xfId="0" applyNumberFormat="1" applyFont="1" applyBorder="1" applyAlignment="1">
      <alignment horizontal="right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0" fontId="25" fillId="0" borderId="38" xfId="0" applyFont="1" applyBorder="1" applyAlignment="1">
      <alignment horizontal="right"/>
    </xf>
    <xf numFmtId="3" fontId="64" fillId="0" borderId="23" xfId="0" applyNumberFormat="1" applyFont="1" applyBorder="1" applyAlignment="1">
      <alignment horizontal="center" vertical="center"/>
    </xf>
    <xf numFmtId="3" fontId="64" fillId="0" borderId="42" xfId="0" applyNumberFormat="1" applyFont="1" applyBorder="1" applyAlignment="1">
      <alignment horizontal="center" vertical="center"/>
    </xf>
    <xf numFmtId="3" fontId="64" fillId="0" borderId="109" xfId="0" applyNumberFormat="1" applyFont="1" applyBorder="1" applyAlignment="1">
      <alignment horizontal="center" vertical="center"/>
    </xf>
    <xf numFmtId="0" fontId="64" fillId="0" borderId="141" xfId="0" applyFont="1" applyBorder="1" applyAlignment="1">
      <alignment horizontal="center" vertical="center"/>
    </xf>
    <xf numFmtId="0" fontId="64" fillId="0" borderId="53" xfId="0" applyFont="1" applyBorder="1" applyAlignment="1">
      <alignment horizontal="center" vertical="center"/>
    </xf>
    <xf numFmtId="0" fontId="64" fillId="0" borderId="54" xfId="0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0" fontId="28" fillId="0" borderId="98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25" fillId="0" borderId="133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3" fontId="25" fillId="0" borderId="143" xfId="0" applyNumberFormat="1" applyFont="1" applyBorder="1" applyAlignment="1">
      <alignment horizontal="center" vertical="center"/>
    </xf>
    <xf numFmtId="3" fontId="25" fillId="0" borderId="87" xfId="0" applyNumberFormat="1" applyFont="1" applyBorder="1" applyAlignment="1">
      <alignment horizontal="center" vertical="center"/>
    </xf>
    <xf numFmtId="3" fontId="25" fillId="0" borderId="141" xfId="0" applyNumberFormat="1" applyFont="1" applyBorder="1" applyAlignment="1">
      <alignment horizontal="center" vertical="center"/>
    </xf>
    <xf numFmtId="3" fontId="25" fillId="0" borderId="5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0" fontId="59" fillId="0" borderId="19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81" xfId="0" applyNumberFormat="1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3" fontId="64" fillId="0" borderId="45" xfId="0" applyNumberFormat="1" applyFont="1" applyBorder="1" applyAlignment="1">
      <alignment horizontal="center" vertical="center"/>
    </xf>
    <xf numFmtId="3" fontId="64" fillId="0" borderId="75" xfId="0" applyNumberFormat="1" applyFont="1" applyBorder="1" applyAlignment="1">
      <alignment horizontal="center" vertical="center"/>
    </xf>
    <xf numFmtId="3" fontId="74" fillId="0" borderId="42" xfId="0" applyNumberFormat="1" applyFont="1" applyBorder="1" applyAlignment="1">
      <alignment horizontal="center" vertical="center"/>
    </xf>
    <xf numFmtId="3" fontId="74" fillId="0" borderId="79" xfId="0" applyNumberFormat="1" applyFont="1" applyBorder="1" applyAlignment="1">
      <alignment horizontal="center" vertical="center"/>
    </xf>
    <xf numFmtId="3" fontId="74" fillId="0" borderId="84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/>
    </xf>
    <xf numFmtId="3" fontId="64" fillId="0" borderId="86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28" fillId="0" borderId="48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7" fillId="0" borderId="0" xfId="75" applyFont="1" applyAlignment="1">
      <alignment horizontal="right"/>
    </xf>
    <xf numFmtId="3" fontId="110" fillId="0" borderId="31" xfId="71" applyNumberFormat="1" applyFont="1" applyBorder="1" applyAlignment="1">
      <alignment horizontal="right" vertical="center"/>
    </xf>
    <xf numFmtId="3" fontId="110" fillId="0" borderId="56" xfId="71" applyNumberFormat="1" applyFont="1" applyBorder="1" applyAlignment="1">
      <alignment horizontal="right" vertical="center"/>
    </xf>
    <xf numFmtId="0" fontId="75" fillId="0" borderId="82" xfId="71" applyFont="1" applyFill="1" applyBorder="1" applyAlignment="1">
      <alignment horizontal="center" vertical="center"/>
    </xf>
    <xf numFmtId="0" fontId="75" fillId="0" borderId="83" xfId="7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/>
    </xf>
    <xf numFmtId="3" fontId="75" fillId="0" borderId="26" xfId="71" applyNumberFormat="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26" xfId="71" applyNumberFormat="1" applyFont="1" applyFill="1" applyBorder="1" applyAlignment="1">
      <alignment horizontal="center" vertical="center" wrapText="1"/>
    </xf>
    <xf numFmtId="3" fontId="75" fillId="0" borderId="72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64" fillId="0" borderId="24" xfId="0" applyNumberFormat="1" applyFont="1" applyBorder="1" applyAlignment="1">
      <alignment horizontal="center" vertical="center"/>
    </xf>
    <xf numFmtId="3" fontId="64" fillId="0" borderId="41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/>
    </xf>
    <xf numFmtId="0" fontId="81" fillId="0" borderId="23" xfId="0" applyFont="1" applyBorder="1" applyAlignment="1"/>
    <xf numFmtId="0" fontId="24" fillId="0" borderId="48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7" xfId="0" applyFont="1" applyBorder="1" applyAlignment="1">
      <alignment horizontal="center" vertical="center"/>
    </xf>
    <xf numFmtId="0" fontId="25" fillId="0" borderId="104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3" xfId="0" applyFont="1" applyBorder="1" applyAlignment="1">
      <alignment horizontal="center" vertical="center" wrapText="1"/>
    </xf>
    <xf numFmtId="3" fontId="150" fillId="0" borderId="31" xfId="71" applyNumberFormat="1" applyFont="1" applyBorder="1" applyAlignment="1">
      <alignment horizontal="right" vertical="center"/>
    </xf>
    <xf numFmtId="3" fontId="150" fillId="0" borderId="56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76" xfId="0" applyNumberFormat="1" applyFont="1" applyBorder="1" applyAlignment="1">
      <alignment horizontal="right"/>
    </xf>
    <xf numFmtId="0" fontId="0" fillId="0" borderId="76" xfId="0" applyBorder="1" applyAlignment="1"/>
    <xf numFmtId="0" fontId="29" fillId="0" borderId="23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110" fillId="0" borderId="23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7" xfId="78" applyNumberFormat="1" applyFont="1" applyBorder="1" applyAlignment="1">
      <alignment horizontal="right"/>
    </xf>
    <xf numFmtId="0" fontId="0" fillId="0" borderId="57" xfId="0" applyBorder="1" applyAlignment="1"/>
    <xf numFmtId="49" fontId="25" fillId="0" borderId="85" xfId="78" applyNumberFormat="1" applyFont="1" applyBorder="1" applyAlignment="1">
      <alignment horizontal="center" vertical="center" textRotation="255" wrapText="1"/>
    </xf>
    <xf numFmtId="49" fontId="25" fillId="0" borderId="10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48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112" xfId="0" applyNumberFormat="1" applyFont="1" applyBorder="1" applyAlignment="1">
      <alignment horizontal="center" vertical="center" wrapText="1"/>
    </xf>
    <xf numFmtId="3" fontId="25" fillId="0" borderId="114" xfId="0" applyNumberFormat="1" applyFont="1" applyBorder="1" applyAlignment="1">
      <alignment horizontal="center" vertical="center" wrapText="1"/>
    </xf>
    <xf numFmtId="3" fontId="25" fillId="0" borderId="119" xfId="0" applyNumberFormat="1" applyFont="1" applyBorder="1" applyAlignment="1">
      <alignment horizontal="center" vertical="center" wrapText="1"/>
    </xf>
    <xf numFmtId="3" fontId="25" fillId="0" borderId="120" xfId="0" applyNumberFormat="1" applyFont="1" applyBorder="1" applyAlignment="1">
      <alignment horizontal="center" vertical="center" wrapText="1"/>
    </xf>
    <xf numFmtId="3" fontId="25" fillId="0" borderId="121" xfId="0" applyNumberFormat="1" applyFont="1" applyBorder="1" applyAlignment="1">
      <alignment horizontal="center" vertical="center" wrapText="1"/>
    </xf>
    <xf numFmtId="3" fontId="25" fillId="0" borderId="116" xfId="0" applyNumberFormat="1" applyFont="1" applyBorder="1" applyAlignment="1">
      <alignment horizontal="center" vertical="center" wrapText="1"/>
    </xf>
    <xf numFmtId="3" fontId="25" fillId="0" borderId="117" xfId="0" applyNumberFormat="1" applyFont="1" applyBorder="1" applyAlignment="1">
      <alignment horizontal="center" vertical="center" wrapText="1"/>
    </xf>
    <xf numFmtId="3" fontId="25" fillId="0" borderId="118" xfId="0" applyNumberFormat="1" applyFont="1" applyBorder="1" applyAlignment="1">
      <alignment horizontal="center" vertical="center" wrapText="1"/>
    </xf>
    <xf numFmtId="3" fontId="25" fillId="0" borderId="42" xfId="78" applyNumberFormat="1" applyFont="1" applyBorder="1" applyAlignment="1">
      <alignment horizontal="center" vertical="center"/>
    </xf>
    <xf numFmtId="3" fontId="25" fillId="0" borderId="79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center" vertical="center"/>
    </xf>
    <xf numFmtId="3" fontId="44" fillId="0" borderId="23" xfId="0" applyNumberFormat="1" applyFont="1" applyBorder="1" applyAlignment="1">
      <alignment horizontal="center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76" xfId="0" applyFont="1" applyBorder="1" applyAlignment="1">
      <alignment horizontal="right"/>
    </xf>
    <xf numFmtId="0" fontId="0" fillId="0" borderId="76" xfId="0" applyBorder="1" applyAlignment="1">
      <alignment horizontal="right"/>
    </xf>
    <xf numFmtId="0" fontId="0" fillId="0" borderId="0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0" fontId="47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25" fillId="0" borderId="141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 wrapText="1"/>
    </xf>
    <xf numFmtId="0" fontId="28" fillId="0" borderId="136" xfId="0" applyFont="1" applyBorder="1" applyAlignment="1">
      <alignment horizontal="center" vertical="center" wrapText="1"/>
    </xf>
    <xf numFmtId="0" fontId="28" fillId="0" borderId="147" xfId="0" applyFont="1" applyBorder="1" applyAlignment="1">
      <alignment horizontal="center" vertical="center" wrapText="1"/>
    </xf>
    <xf numFmtId="3" fontId="25" fillId="0" borderId="133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64" fillId="0" borderId="111" xfId="0" applyNumberFormat="1" applyFont="1" applyBorder="1" applyAlignment="1">
      <alignment horizontal="center" vertical="center"/>
    </xf>
    <xf numFmtId="0" fontId="64" fillId="0" borderId="135" xfId="0" applyFont="1" applyBorder="1" applyAlignment="1">
      <alignment horizontal="center" vertical="center"/>
    </xf>
    <xf numFmtId="0" fontId="64" fillId="0" borderId="113" xfId="0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10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86" xfId="0" applyNumberFormat="1" applyFont="1" applyBorder="1" applyAlignment="1">
      <alignment horizontal="center" vertical="center" wrapText="1"/>
    </xf>
    <xf numFmtId="3" fontId="64" fillId="0" borderId="8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57" xfId="0" applyNumberFormat="1" applyFont="1" applyBorder="1" applyAlignment="1">
      <alignment horizontal="right"/>
    </xf>
    <xf numFmtId="3" fontId="64" fillId="0" borderId="88" xfId="0" applyNumberFormat="1" applyFont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00" xfId="0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99" xfId="0" applyNumberFormat="1" applyFont="1" applyBorder="1" applyAlignment="1">
      <alignment horizontal="center" vertical="center"/>
    </xf>
    <xf numFmtId="3" fontId="64" fillId="0" borderId="97" xfId="0" applyNumberFormat="1" applyFont="1" applyBorder="1" applyAlignment="1">
      <alignment horizontal="center" vertical="center"/>
    </xf>
    <xf numFmtId="3" fontId="64" fillId="0" borderId="9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0" xfId="0" applyNumberFormat="1" applyFont="1" applyBorder="1" applyAlignment="1">
      <alignment horizontal="center" vertical="center"/>
    </xf>
    <xf numFmtId="0" fontId="78" fillId="0" borderId="101" xfId="0" applyFont="1" applyBorder="1" applyAlignment="1">
      <alignment horizontal="center" vertical="center"/>
    </xf>
    <xf numFmtId="3" fontId="64" fillId="0" borderId="9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6" xfId="0" applyFont="1" applyFill="1" applyBorder="1" applyAlignment="1"/>
    <xf numFmtId="0" fontId="78" fillId="0" borderId="72" xfId="0" applyFont="1" applyBorder="1" applyAlignment="1"/>
    <xf numFmtId="0" fontId="64" fillId="0" borderId="95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 wrapText="1"/>
    </xf>
    <xf numFmtId="3" fontId="57" fillId="0" borderId="88" xfId="0" applyNumberFormat="1" applyFont="1" applyBorder="1" applyAlignment="1">
      <alignment horizontal="center" vertical="center" wrapText="1"/>
    </xf>
    <xf numFmtId="3" fontId="57" fillId="0" borderId="89" xfId="0" applyNumberFormat="1" applyFont="1" applyBorder="1" applyAlignment="1">
      <alignment horizontal="center" vertical="center" wrapText="1"/>
    </xf>
    <xf numFmtId="0" fontId="57" fillId="0" borderId="90" xfId="0" applyFont="1" applyBorder="1" applyAlignment="1">
      <alignment horizontal="center" vertical="center" textRotation="255"/>
    </xf>
    <xf numFmtId="0" fontId="57" fillId="0" borderId="91" xfId="0" applyFont="1" applyBorder="1" applyAlignment="1">
      <alignment horizontal="center" vertical="center" textRotation="255"/>
    </xf>
    <xf numFmtId="0" fontId="0" fillId="0" borderId="92" xfId="0" applyBorder="1" applyAlignment="1"/>
    <xf numFmtId="3" fontId="64" fillId="0" borderId="93" xfId="0" applyNumberFormat="1" applyFont="1" applyBorder="1" applyAlignment="1">
      <alignment horizontal="center" vertical="center" wrapText="1"/>
    </xf>
    <xf numFmtId="3" fontId="64" fillId="0" borderId="94" xfId="0" applyNumberFormat="1" applyFont="1" applyBorder="1" applyAlignment="1">
      <alignment horizontal="center" vertical="center" wrapText="1"/>
    </xf>
    <xf numFmtId="3" fontId="64" fillId="0" borderId="42" xfId="0" applyNumberFormat="1" applyFont="1" applyBorder="1" applyAlignment="1">
      <alignment horizontal="center"/>
    </xf>
    <xf numFmtId="3" fontId="64" fillId="0" borderId="79" xfId="0" applyNumberFormat="1" applyFont="1" applyBorder="1" applyAlignment="1">
      <alignment horizontal="center"/>
    </xf>
    <xf numFmtId="3" fontId="64" fillId="0" borderId="84" xfId="0" applyNumberFormat="1" applyFont="1" applyBorder="1" applyAlignment="1">
      <alignment horizontal="center"/>
    </xf>
    <xf numFmtId="3" fontId="64" fillId="0" borderId="23" xfId="0" applyNumberFormat="1" applyFont="1" applyBorder="1" applyAlignment="1">
      <alignment horizontal="center"/>
    </xf>
    <xf numFmtId="3" fontId="89" fillId="0" borderId="23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4" xfId="0" applyFont="1" applyBorder="1" applyAlignment="1">
      <alignment horizontal="center" vertical="center" textRotation="255"/>
    </xf>
    <xf numFmtId="0" fontId="89" fillId="0" borderId="25" xfId="0" applyFont="1" applyBorder="1" applyAlignment="1">
      <alignment horizontal="center" vertical="center" textRotation="255"/>
    </xf>
    <xf numFmtId="3" fontId="64" fillId="0" borderId="0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90" fillId="0" borderId="76" xfId="0" applyFont="1" applyBorder="1" applyAlignment="1">
      <alignment horizontal="right"/>
    </xf>
    <xf numFmtId="0" fontId="90" fillId="0" borderId="0" xfId="0" applyFont="1" applyBorder="1" applyAlignment="1">
      <alignment horizontal="right"/>
    </xf>
    <xf numFmtId="3" fontId="90" fillId="0" borderId="87" xfId="0" applyNumberFormat="1" applyFont="1" applyBorder="1" applyAlignment="1">
      <alignment horizontal="center" vertical="center" wrapText="1"/>
    </xf>
    <xf numFmtId="3" fontId="90" fillId="0" borderId="126" xfId="0" applyNumberFormat="1" applyFont="1" applyBorder="1" applyAlignment="1">
      <alignment horizontal="center" vertical="center" wrapText="1"/>
    </xf>
    <xf numFmtId="3" fontId="90" fillId="0" borderId="27" xfId="0" applyNumberFormat="1" applyFont="1" applyBorder="1" applyAlignment="1">
      <alignment horizontal="center" vertical="center" wrapText="1"/>
    </xf>
    <xf numFmtId="3" fontId="90" fillId="0" borderId="127" xfId="0" applyNumberFormat="1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5" xfId="0" applyNumberFormat="1" applyFont="1" applyBorder="1" applyAlignment="1">
      <alignment horizontal="center" vertical="center" wrapText="1"/>
    </xf>
    <xf numFmtId="3" fontId="90" fillId="0" borderId="14" xfId="0" applyNumberFormat="1" applyFont="1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 vertical="center" wrapText="1"/>
    </xf>
    <xf numFmtId="3" fontId="90" fillId="0" borderId="124" xfId="0" applyNumberFormat="1" applyFont="1" applyBorder="1" applyAlignment="1">
      <alignment horizontal="center" vertical="center" wrapText="1"/>
    </xf>
    <xf numFmtId="3" fontId="90" fillId="0" borderId="77" xfId="0" applyNumberFormat="1" applyFont="1" applyBorder="1" applyAlignment="1">
      <alignment horizontal="center" vertical="center" wrapText="1"/>
    </xf>
    <xf numFmtId="3" fontId="90" fillId="0" borderId="45" xfId="0" applyNumberFormat="1" applyFont="1" applyBorder="1" applyAlignment="1">
      <alignment horizontal="center" vertical="center" wrapText="1"/>
    </xf>
    <xf numFmtId="3" fontId="90" fillId="0" borderId="84" xfId="0" applyNumberFormat="1" applyFont="1" applyBorder="1" applyAlignment="1">
      <alignment horizontal="center" vertical="center" wrapText="1"/>
    </xf>
    <xf numFmtId="3" fontId="90" fillId="0" borderId="23" xfId="0" applyNumberFormat="1" applyFont="1" applyBorder="1" applyAlignment="1">
      <alignment horizontal="center" vertical="center" wrapText="1"/>
    </xf>
    <xf numFmtId="0" fontId="90" fillId="0" borderId="74" xfId="0" applyFont="1" applyBorder="1" applyAlignment="1">
      <alignment horizontal="center" vertical="center" wrapText="1"/>
    </xf>
    <xf numFmtId="0" fontId="90" fillId="0" borderId="60" xfId="0" applyFont="1" applyBorder="1" applyAlignment="1">
      <alignment horizontal="center" vertical="center" wrapText="1"/>
    </xf>
    <xf numFmtId="0" fontId="88" fillId="0" borderId="60" xfId="0" applyFont="1" applyBorder="1" applyAlignment="1">
      <alignment horizontal="center" vertical="center" wrapText="1"/>
    </xf>
    <xf numFmtId="0" fontId="59" fillId="0" borderId="105" xfId="0" applyFont="1" applyBorder="1" applyAlignment="1">
      <alignment horizontal="left"/>
    </xf>
    <xf numFmtId="0" fontId="59" fillId="0" borderId="31" xfId="0" applyFont="1" applyBorder="1" applyAlignment="1">
      <alignment horizontal="left"/>
    </xf>
    <xf numFmtId="3" fontId="90" fillId="0" borderId="41" xfId="0" applyNumberFormat="1" applyFont="1" applyBorder="1" applyAlignment="1">
      <alignment horizontal="center" vertical="center" wrapText="1"/>
    </xf>
    <xf numFmtId="3" fontId="90" fillId="0" borderId="122" xfId="0" applyNumberFormat="1" applyFont="1" applyBorder="1" applyAlignment="1">
      <alignment horizontal="center" vertical="center" wrapText="1"/>
    </xf>
    <xf numFmtId="3" fontId="90" fillId="0" borderId="23" xfId="0" applyNumberFormat="1" applyFont="1" applyBorder="1" applyAlignment="1">
      <alignment horizontal="center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8" xfId="0" applyFont="1" applyBorder="1" applyAlignment="1">
      <alignment horizontal="center" textRotation="255"/>
    </xf>
    <xf numFmtId="0" fontId="43" fillId="0" borderId="22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48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6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48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59" fillId="0" borderId="135" xfId="0" applyFont="1" applyBorder="1" applyAlignment="1">
      <alignment horizontal="center" vertical="center"/>
    </xf>
    <xf numFmtId="0" fontId="59" fillId="0" borderId="113" xfId="0" applyFont="1" applyBorder="1" applyAlignment="1">
      <alignment horizontal="center" vertical="center"/>
    </xf>
    <xf numFmtId="0" fontId="28" fillId="0" borderId="137" xfId="0" applyFont="1" applyBorder="1" applyAlignment="1">
      <alignment horizontal="center" vertical="center" wrapText="1"/>
    </xf>
    <xf numFmtId="0" fontId="59" fillId="0" borderId="141" xfId="0" applyFont="1" applyBorder="1" applyAlignment="1">
      <alignment horizontal="center" vertical="center"/>
    </xf>
    <xf numFmtId="0" fontId="59" fillId="0" borderId="53" xfId="0" applyFont="1" applyBorder="1" applyAlignment="1">
      <alignment horizontal="center" vertical="center"/>
    </xf>
    <xf numFmtId="0" fontId="59" fillId="0" borderId="54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 vertical="center"/>
    </xf>
    <xf numFmtId="0" fontId="28" fillId="0" borderId="140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3" fontId="74" fillId="0" borderId="143" xfId="0" applyNumberFormat="1" applyFont="1" applyBorder="1" applyAlignment="1">
      <alignment horizontal="center" vertical="center"/>
    </xf>
    <xf numFmtId="3" fontId="74" fillId="0" borderId="87" xfId="0" applyNumberFormat="1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7" xfId="0" applyNumberFormat="1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25" fillId="0" borderId="96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7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28" fillId="0" borderId="12" xfId="0" applyFont="1" applyBorder="1" applyAlignment="1">
      <alignment horizontal="center" vertical="center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3" xfId="72" applyFont="1" applyBorder="1" applyAlignment="1">
      <alignment horizontal="center"/>
    </xf>
    <xf numFmtId="0" fontId="48" fillId="0" borderId="84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76" xfId="72" applyFont="1" applyBorder="1" applyAlignment="1">
      <alignment horizontal="center"/>
    </xf>
    <xf numFmtId="0" fontId="48" fillId="0" borderId="77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3" xfId="72" applyFont="1" applyBorder="1" applyAlignment="1">
      <alignment horizontal="center"/>
    </xf>
    <xf numFmtId="0" fontId="100" fillId="0" borderId="84" xfId="72" applyFont="1" applyBorder="1" applyAlignment="1">
      <alignment horizontal="center" wrapText="1"/>
    </xf>
    <xf numFmtId="0" fontId="100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2" xfId="72" applyFont="1" applyBorder="1" applyAlignment="1">
      <alignment horizontal="center"/>
    </xf>
    <xf numFmtId="0" fontId="100" fillId="0" borderId="79" xfId="72" applyFont="1" applyBorder="1" applyAlignment="1">
      <alignment horizontal="center"/>
    </xf>
    <xf numFmtId="0" fontId="100" fillId="0" borderId="84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3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3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3" xfId="77" applyFont="1" applyBorder="1" applyAlignment="1">
      <alignment horizontal="center"/>
    </xf>
    <xf numFmtId="0" fontId="53" fillId="0" borderId="24" xfId="77" applyFont="1" applyBorder="1" applyAlignment="1">
      <alignment horizontal="center" vertical="center"/>
    </xf>
    <xf numFmtId="0" fontId="53" fillId="0" borderId="45" xfId="77" applyFont="1" applyBorder="1" applyAlignment="1">
      <alignment horizontal="center" vertical="center"/>
    </xf>
    <xf numFmtId="0" fontId="53" fillId="0" borderId="24" xfId="77" applyFont="1" applyBorder="1" applyAlignment="1">
      <alignment horizontal="center" vertical="center" wrapText="1"/>
    </xf>
    <xf numFmtId="0" fontId="53" fillId="0" borderId="45" xfId="77" applyFont="1" applyBorder="1" applyAlignment="1">
      <alignment horizontal="center" vertical="center" wrapText="1"/>
    </xf>
    <xf numFmtId="0" fontId="53" fillId="0" borderId="41" xfId="77" applyFont="1" applyBorder="1" applyAlignment="1">
      <alignment horizontal="center" vertical="center"/>
    </xf>
    <xf numFmtId="0" fontId="53" fillId="0" borderId="75" xfId="77" applyFont="1" applyBorder="1" applyAlignment="1">
      <alignment horizontal="center" vertical="center"/>
    </xf>
    <xf numFmtId="0" fontId="53" fillId="0" borderId="7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56"/>
  <sheetViews>
    <sheetView tabSelected="1" zoomScale="120" workbookViewId="0">
      <selection activeCell="I62" sqref="I62"/>
    </sheetView>
  </sheetViews>
  <sheetFormatPr defaultColWidth="9.140625" defaultRowHeight="11.25" x14ac:dyDescent="0.2"/>
  <cols>
    <col min="1" max="1" width="1.140625" style="10" customWidth="1"/>
    <col min="2" max="2" width="3.85546875" style="116" customWidth="1"/>
    <col min="3" max="3" width="36.28515625" style="116" customWidth="1"/>
    <col min="4" max="4" width="13.28515625" style="117" customWidth="1"/>
    <col min="5" max="11" width="13.42578125" style="117" customWidth="1"/>
    <col min="12" max="12" width="36.85546875" style="117" customWidth="1"/>
    <col min="13" max="13" width="13.140625" style="117" customWidth="1"/>
    <col min="14" max="15" width="13.42578125" style="117" customWidth="1"/>
    <col min="16" max="16" width="13.42578125" style="116" customWidth="1"/>
    <col min="17" max="17" width="13.28515625" style="116" customWidth="1"/>
    <col min="18" max="18" width="13.5703125" style="116" customWidth="1"/>
    <col min="19" max="19" width="13.140625" style="116" customWidth="1"/>
    <col min="20" max="20" width="13.42578125" style="116" customWidth="1"/>
    <col min="21" max="25" width="9.140625" style="116"/>
    <col min="26" max="16384" width="9.140625" style="10"/>
  </cols>
  <sheetData>
    <row r="1" spans="1:25" ht="12.75" customHeight="1" x14ac:dyDescent="0.2">
      <c r="B1" s="1386" t="s">
        <v>1303</v>
      </c>
      <c r="C1" s="1386"/>
      <c r="D1" s="1386"/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1386"/>
      <c r="P1" s="1386"/>
      <c r="Q1" s="1386"/>
      <c r="R1" s="1386"/>
      <c r="S1" s="1386"/>
      <c r="T1" s="1386"/>
    </row>
    <row r="2" spans="1:25" ht="20.25" x14ac:dyDescent="0.3">
      <c r="C2" s="606"/>
      <c r="O2" s="118"/>
    </row>
    <row r="3" spans="1:25" s="98" customFormat="1" x14ac:dyDescent="0.2">
      <c r="B3" s="119"/>
      <c r="C3" s="1387" t="s">
        <v>54</v>
      </c>
      <c r="D3" s="1387"/>
      <c r="E3" s="1387"/>
      <c r="F3" s="1387"/>
      <c r="G3" s="1387"/>
      <c r="H3" s="1387"/>
      <c r="I3" s="1387"/>
      <c r="J3" s="1387"/>
      <c r="K3" s="1387"/>
      <c r="L3" s="1387"/>
      <c r="M3" s="1387"/>
      <c r="N3" s="1387"/>
      <c r="O3" s="1387"/>
      <c r="P3" s="1387"/>
      <c r="Q3" s="1387"/>
      <c r="R3" s="1387"/>
      <c r="S3" s="1387"/>
      <c r="T3" s="1387"/>
      <c r="U3" s="119"/>
      <c r="V3" s="119"/>
      <c r="W3" s="119"/>
      <c r="X3" s="119"/>
      <c r="Y3" s="119"/>
    </row>
    <row r="4" spans="1:25" s="98" customFormat="1" ht="12.75" customHeight="1" x14ac:dyDescent="0.2">
      <c r="B4" s="1388" t="s">
        <v>1115</v>
      </c>
      <c r="C4" s="1388"/>
      <c r="D4" s="1388"/>
      <c r="E4" s="1388"/>
      <c r="F4" s="1388"/>
      <c r="G4" s="1388"/>
      <c r="H4" s="1388"/>
      <c r="I4" s="1388"/>
      <c r="J4" s="1388"/>
      <c r="K4" s="1388"/>
      <c r="L4" s="1388"/>
      <c r="M4" s="1388"/>
      <c r="N4" s="1388"/>
      <c r="O4" s="1388"/>
      <c r="P4" s="1388"/>
      <c r="Q4" s="1388"/>
      <c r="R4" s="1388"/>
      <c r="S4" s="1388"/>
      <c r="T4" s="1388"/>
      <c r="U4" s="119"/>
      <c r="V4" s="119"/>
      <c r="W4" s="119"/>
      <c r="X4" s="119"/>
      <c r="Y4" s="119"/>
    </row>
    <row r="5" spans="1:25" s="98" customFormat="1" ht="12" thickBot="1" x14ac:dyDescent="0.25">
      <c r="B5" s="119"/>
      <c r="C5" s="1389" t="s">
        <v>325</v>
      </c>
      <c r="D5" s="1389"/>
      <c r="E5" s="1389"/>
      <c r="F5" s="1389"/>
      <c r="G5" s="1389"/>
      <c r="H5" s="1389"/>
      <c r="I5" s="1389"/>
      <c r="J5" s="1389"/>
      <c r="K5" s="1389"/>
      <c r="L5" s="1389"/>
      <c r="M5" s="1389"/>
      <c r="N5" s="1389"/>
      <c r="O5" s="1389"/>
      <c r="P5" s="1389"/>
      <c r="Q5" s="1389"/>
      <c r="R5" s="1389"/>
      <c r="S5" s="1389"/>
      <c r="T5" s="1389"/>
      <c r="U5" s="119"/>
      <c r="V5" s="119"/>
      <c r="W5" s="119"/>
      <c r="X5" s="119"/>
      <c r="Y5" s="119"/>
    </row>
    <row r="6" spans="1:25" s="98" customFormat="1" ht="12.75" customHeight="1" x14ac:dyDescent="0.2">
      <c r="A6" s="1374"/>
      <c r="B6" s="1398" t="s">
        <v>56</v>
      </c>
      <c r="C6" s="1401" t="s">
        <v>57</v>
      </c>
      <c r="D6" s="1405" t="s">
        <v>58</v>
      </c>
      <c r="E6" s="1406"/>
      <c r="F6" s="1406"/>
      <c r="G6" s="1406"/>
      <c r="H6" s="1406"/>
      <c r="I6" s="1406"/>
      <c r="J6" s="1406"/>
      <c r="K6" s="1407"/>
      <c r="L6" s="1403" t="s">
        <v>59</v>
      </c>
      <c r="M6" s="1393" t="s">
        <v>60</v>
      </c>
      <c r="N6" s="1394"/>
      <c r="O6" s="1394"/>
      <c r="P6" s="1394"/>
      <c r="Q6" s="1394"/>
      <c r="R6" s="1394"/>
      <c r="S6" s="1394"/>
      <c r="T6" s="1395"/>
    </row>
    <row r="7" spans="1:25" s="98" customFormat="1" ht="12.75" customHeight="1" x14ac:dyDescent="0.2">
      <c r="A7" s="1374"/>
      <c r="B7" s="1399"/>
      <c r="C7" s="1402"/>
      <c r="D7" s="1396" t="s">
        <v>1271</v>
      </c>
      <c r="E7" s="1396"/>
      <c r="F7" s="1397"/>
      <c r="G7" s="1390" t="s">
        <v>1299</v>
      </c>
      <c r="H7" s="1391"/>
      <c r="I7" s="1390" t="s">
        <v>1270</v>
      </c>
      <c r="J7" s="1390"/>
      <c r="K7" s="1392"/>
      <c r="L7" s="1404"/>
      <c r="M7" s="1396" t="s">
        <v>1271</v>
      </c>
      <c r="N7" s="1396"/>
      <c r="O7" s="1397"/>
      <c r="P7" s="1390" t="s">
        <v>1299</v>
      </c>
      <c r="Q7" s="1391"/>
      <c r="R7" s="1390" t="s">
        <v>1270</v>
      </c>
      <c r="S7" s="1390"/>
      <c r="T7" s="1392"/>
    </row>
    <row r="8" spans="1:25" s="99" customFormat="1" ht="36.6" customHeight="1" thickBot="1" x14ac:dyDescent="0.25">
      <c r="A8" s="1342"/>
      <c r="B8" s="1400"/>
      <c r="C8" s="1304" t="s">
        <v>61</v>
      </c>
      <c r="D8" s="1305" t="s">
        <v>62</v>
      </c>
      <c r="E8" s="1305" t="s">
        <v>63</v>
      </c>
      <c r="F8" s="1306" t="s">
        <v>64</v>
      </c>
      <c r="G8" s="1305" t="s">
        <v>62</v>
      </c>
      <c r="H8" s="1306" t="s">
        <v>63</v>
      </c>
      <c r="I8" s="1305" t="s">
        <v>62</v>
      </c>
      <c r="J8" s="1305" t="s">
        <v>63</v>
      </c>
      <c r="K8" s="1337" t="s">
        <v>64</v>
      </c>
      <c r="L8" s="1308" t="s">
        <v>65</v>
      </c>
      <c r="M8" s="1305" t="s">
        <v>62</v>
      </c>
      <c r="N8" s="1305" t="s">
        <v>63</v>
      </c>
      <c r="O8" s="1305" t="s">
        <v>64</v>
      </c>
      <c r="P8" s="1305" t="s">
        <v>62</v>
      </c>
      <c r="Q8" s="1306" t="s">
        <v>63</v>
      </c>
      <c r="R8" s="1305" t="s">
        <v>62</v>
      </c>
      <c r="S8" s="1305" t="s">
        <v>63</v>
      </c>
      <c r="T8" s="1337" t="s">
        <v>64</v>
      </c>
    </row>
    <row r="9" spans="1:25" ht="11.45" customHeight="1" x14ac:dyDescent="0.2">
      <c r="A9" s="1313"/>
      <c r="B9" s="1375">
        <v>1</v>
      </c>
      <c r="C9" s="1271" t="s">
        <v>24</v>
      </c>
      <c r="D9" s="124"/>
      <c r="E9" s="124"/>
      <c r="F9" s="124"/>
      <c r="G9" s="124"/>
      <c r="H9" s="124"/>
      <c r="I9" s="124"/>
      <c r="J9" s="124"/>
      <c r="K9" s="1293"/>
      <c r="L9" s="1272" t="s">
        <v>25</v>
      </c>
      <c r="M9" s="124"/>
      <c r="N9" s="124"/>
      <c r="O9" s="122"/>
      <c r="P9" s="1279"/>
      <c r="Q9" s="1279"/>
      <c r="R9" s="1279"/>
      <c r="S9" s="1279"/>
      <c r="T9" s="1313"/>
      <c r="U9" s="10"/>
      <c r="V9" s="10"/>
      <c r="W9" s="10"/>
      <c r="X9" s="10"/>
      <c r="Y9" s="10"/>
    </row>
    <row r="10" spans="1:25" x14ac:dyDescent="0.2">
      <c r="A10" s="1313"/>
      <c r="B10" s="1376">
        <f t="shared" ref="B10:B54" si="0">B9+1</f>
        <v>2</v>
      </c>
      <c r="C10" s="121" t="s">
        <v>212</v>
      </c>
      <c r="D10" s="199"/>
      <c r="E10" s="199"/>
      <c r="F10" s="199">
        <f>SUM(D10:E10)</f>
        <v>0</v>
      </c>
      <c r="G10" s="199"/>
      <c r="H10" s="199"/>
      <c r="I10" s="199"/>
      <c r="J10" s="199"/>
      <c r="K10" s="1295"/>
      <c r="L10" s="199" t="s">
        <v>230</v>
      </c>
      <c r="M10" s="199">
        <f>'pü.mérleg Önkorm.'!M10+'pü.mérleg Hivatal'!M12+'püm. GAMESZ. '!L12+'püm-TASZII.'!M12+püm.Brunszvik!M12+'püm Festetics'!M12</f>
        <v>574562</v>
      </c>
      <c r="N10" s="199">
        <f>'pü.mérleg Önkorm.'!N10+'pü.mérleg Hivatal'!N12+'püm. GAMESZ. '!M12+'püm-TASZII.'!N12+püm.Brunszvik!N12+'püm Festetics'!N12</f>
        <v>341812</v>
      </c>
      <c r="O10" s="1275">
        <f>SUM(M10:N10)</f>
        <v>916374</v>
      </c>
      <c r="P10" s="122">
        <v>2616</v>
      </c>
      <c r="Q10" s="122">
        <v>37894</v>
      </c>
      <c r="R10" s="122">
        <f>M10+P10</f>
        <v>577178</v>
      </c>
      <c r="S10" s="122">
        <f>N10+Q10</f>
        <v>379706</v>
      </c>
      <c r="T10" s="1316">
        <f>R10+S10</f>
        <v>956884</v>
      </c>
      <c r="U10" s="10"/>
      <c r="V10" s="10"/>
      <c r="W10" s="10"/>
      <c r="X10" s="10"/>
      <c r="Y10" s="10"/>
    </row>
    <row r="11" spans="1:25" x14ac:dyDescent="0.2">
      <c r="A11" s="1313"/>
      <c r="B11" s="1376">
        <f t="shared" si="0"/>
        <v>3</v>
      </c>
      <c r="C11" s="121" t="s">
        <v>206</v>
      </c>
      <c r="D11" s="199">
        <f>'tám, végl. pe.átv  '!C11+'tám, végl. pe.átv  '!C17+'tám, végl. pe.átv  '!C18</f>
        <v>740982</v>
      </c>
      <c r="E11" s="199">
        <f>'tám, végl. pe.átv  '!D11+'tám, végl. pe.átv  '!D17+'tám, végl. pe.átv  '!D18</f>
        <v>93769</v>
      </c>
      <c r="F11" s="199">
        <f>'tám, végl. pe.átv  '!E11+'tám, végl. pe.átv  '!E17+'tám, végl. pe.átv  '!E18</f>
        <v>834751</v>
      </c>
      <c r="G11" s="199">
        <f>'pü.mérleg Önkorm.'!G11+'pü.mérleg Hivatal'!G13+'püm. GAMESZ. '!F13+püm.Brunszvik!G13+'püm Festetics'!G13+'püm-TASZII.'!G13</f>
        <v>-6464</v>
      </c>
      <c r="H11" s="199">
        <f>'pü.mérleg Önkorm.'!H11+'pü.mérleg Hivatal'!H13+'püm. GAMESZ. '!G13+püm.Brunszvik!H13+'püm Festetics'!H13</f>
        <v>0</v>
      </c>
      <c r="I11" s="199">
        <f>'pü.mérleg Önkorm.'!I11+'pü.mérleg Hivatal'!I13+'püm. GAMESZ. '!H13+püm.Brunszvik!I13+'püm Festetics'!I13</f>
        <v>734518</v>
      </c>
      <c r="J11" s="199">
        <f>'pü.mérleg Önkorm.'!J11+'pü.mérleg Hivatal'!J13+'püm. GAMESZ. '!I13+püm.Brunszvik!J13+'püm Festetics'!J13</f>
        <v>93769</v>
      </c>
      <c r="K11" s="1295">
        <f>'pü.mérleg Önkorm.'!K11+'pü.mérleg Hivatal'!K13+'püm. GAMESZ. '!J13+püm.Brunszvik!K13+'püm Festetics'!K13</f>
        <v>828287</v>
      </c>
      <c r="L11" s="1351" t="s">
        <v>231</v>
      </c>
      <c r="M11" s="199">
        <f>'pü.mérleg Önkorm.'!M11+'pü.mérleg Hivatal'!M13+'püm. GAMESZ. '!L13+püm.Brunszvik!M13+'püm-TASZII.'!M13+'püm Festetics'!M13</f>
        <v>127979</v>
      </c>
      <c r="N11" s="199">
        <f>'pü.mérleg Önkorm.'!N11+'pü.mérleg Hivatal'!N13+'püm. GAMESZ. '!M13+püm.Brunszvik!N13+'püm-TASZII.'!N13+'püm Festetics'!N13</f>
        <v>82755.320000000007</v>
      </c>
      <c r="O11" s="199">
        <f>SUM(M11:N11)</f>
        <v>210734.32</v>
      </c>
      <c r="P11" s="122">
        <v>517</v>
      </c>
      <c r="Q11" s="122">
        <v>7218</v>
      </c>
      <c r="R11" s="122">
        <f t="shared" ref="R11:R21" si="1">M11+P11</f>
        <v>128496</v>
      </c>
      <c r="S11" s="122">
        <f t="shared" ref="S11:S21" si="2">N11+Q11</f>
        <v>89973.32</v>
      </c>
      <c r="T11" s="1316">
        <f t="shared" ref="T11:T21" si="3">R11+S11</f>
        <v>218469.32</v>
      </c>
      <c r="U11" s="10"/>
      <c r="V11" s="10"/>
      <c r="W11" s="10"/>
      <c r="X11" s="10"/>
      <c r="Y11" s="10"/>
    </row>
    <row r="12" spans="1:25" x14ac:dyDescent="0.2">
      <c r="A12" s="1313"/>
      <c r="B12" s="1376">
        <f t="shared" si="0"/>
        <v>4</v>
      </c>
      <c r="C12" s="121" t="s">
        <v>204</v>
      </c>
      <c r="D12" s="199">
        <f>'pü.mérleg Önkorm.'!D12</f>
        <v>0</v>
      </c>
      <c r="E12" s="199">
        <f>'pü.mérleg Önkorm.'!E12</f>
        <v>0</v>
      </c>
      <c r="F12" s="199">
        <f>'pü.mérleg Önkorm.'!F12</f>
        <v>0</v>
      </c>
      <c r="G12" s="199">
        <f>'pü.mérleg Önkorm.'!G12</f>
        <v>0</v>
      </c>
      <c r="H12" s="199">
        <f>'pü.mérleg Önkorm.'!H12</f>
        <v>0</v>
      </c>
      <c r="I12" s="199">
        <f>'pü.mérleg Önkorm.'!I12</f>
        <v>0</v>
      </c>
      <c r="J12" s="199">
        <f>'pü.mérleg Önkorm.'!J12</f>
        <v>0</v>
      </c>
      <c r="K12" s="1295">
        <f>'pü.mérleg Önkorm.'!K12</f>
        <v>0</v>
      </c>
      <c r="L12" s="199" t="s">
        <v>232</v>
      </c>
      <c r="M12" s="199">
        <f>'pü.mérleg Önkorm.'!M12+'pü.mérleg Hivatal'!M14+'püm. GAMESZ. '!L14+püm.Brunszvik!M14+'püm-TASZII.'!M14+'püm Festetics'!M14</f>
        <v>566793</v>
      </c>
      <c r="N12" s="199">
        <f>'pü.mérleg Önkorm.'!N12+'pü.mérleg Hivatal'!N14+'püm. GAMESZ. '!M14+püm.Brunszvik!N14+'püm-TASZII.'!N14+'püm Festetics'!N14</f>
        <v>486300</v>
      </c>
      <c r="O12" s="199">
        <f>SUM(M12:N12)</f>
        <v>1053093</v>
      </c>
      <c r="P12" s="122">
        <v>19731</v>
      </c>
      <c r="Q12" s="122">
        <v>57113</v>
      </c>
      <c r="R12" s="122">
        <f t="shared" si="1"/>
        <v>586524</v>
      </c>
      <c r="S12" s="122">
        <f t="shared" si="2"/>
        <v>543413</v>
      </c>
      <c r="T12" s="1316">
        <f t="shared" si="3"/>
        <v>1129937</v>
      </c>
      <c r="U12" s="10"/>
      <c r="V12" s="10"/>
      <c r="W12" s="10"/>
      <c r="X12" s="10"/>
      <c r="Y12" s="10"/>
    </row>
    <row r="13" spans="1:25" ht="12" customHeight="1" x14ac:dyDescent="0.2">
      <c r="A13" s="1313"/>
      <c r="B13" s="1376">
        <f t="shared" si="0"/>
        <v>5</v>
      </c>
      <c r="C13" s="1345" t="s">
        <v>207</v>
      </c>
      <c r="D13" s="199">
        <f>'tám, végl. pe.átv  '!C37+'tám, végl. pe.átv  '!C51+'tám, végl. pe.átv  '!C57+'tám, végl. pe.átv  '!C67</f>
        <v>31477</v>
      </c>
      <c r="E13" s="199">
        <f>'tám, végl. pe.átv  '!D37+'tám, végl. pe.átv  '!D51+'tám, végl. pe.átv  '!D57+'tám, végl. pe.átv  '!D67</f>
        <v>5071</v>
      </c>
      <c r="F13" s="199">
        <f>'tám, végl. pe.átv  '!E37+'tám, végl. pe.átv  '!E51+'tám, végl. pe.átv  '!E57+'tám, végl. pe.átv  '!E67</f>
        <v>36548</v>
      </c>
      <c r="G13" s="199">
        <f>'pü.mérleg Önkorm.'!G13+'pü.mérleg Hivatal'!G14+'püm. GAMESZ. '!F14+püm.Brunszvik!G14+'püm Festetics'!G14+'püm-TASZII.'!G14</f>
        <v>-456</v>
      </c>
      <c r="H13" s="199">
        <f>'pü.mérleg Önkorm.'!H13+'pü.mérleg Hivatal'!H14+'püm. GAMESZ. '!G14+püm.Brunszvik!H14+'püm Festetics'!H14+'püm-TASZII.'!H14</f>
        <v>3923</v>
      </c>
      <c r="I13" s="199">
        <f>'pü.mérleg Önkorm.'!I13+'pü.mérleg Hivatal'!I14+'püm. GAMESZ. '!H14+püm.Brunszvik!I14+'püm Festetics'!I14+'püm-TASZII.'!I14</f>
        <v>31021</v>
      </c>
      <c r="J13" s="199">
        <f>'pü.mérleg Önkorm.'!J13+'pü.mérleg Hivatal'!J14+'püm. GAMESZ. '!I14+püm.Brunszvik!J14+'püm Festetics'!J14+'püm-TASZII.'!J14</f>
        <v>8994</v>
      </c>
      <c r="K13" s="1295">
        <f>'pü.mérleg Önkorm.'!K13+'pü.mérleg Hivatal'!K14+'püm. GAMESZ. '!J14+püm.Brunszvik!K14+'püm Festetics'!K14+'püm-TASZII.'!K14</f>
        <v>40015</v>
      </c>
      <c r="L13" s="199"/>
      <c r="M13" s="199"/>
      <c r="N13" s="199"/>
      <c r="O13" s="1275"/>
      <c r="P13" s="122"/>
      <c r="Q13" s="122"/>
      <c r="R13" s="122">
        <f t="shared" si="1"/>
        <v>0</v>
      </c>
      <c r="S13" s="122">
        <f t="shared" si="2"/>
        <v>0</v>
      </c>
      <c r="T13" s="1316">
        <f t="shared" si="3"/>
        <v>0</v>
      </c>
      <c r="U13" s="10"/>
      <c r="V13" s="10"/>
      <c r="W13" s="10"/>
      <c r="X13" s="10"/>
      <c r="Y13" s="10"/>
    </row>
    <row r="14" spans="1:25" x14ac:dyDescent="0.2">
      <c r="A14" s="1313"/>
      <c r="B14" s="1376">
        <f t="shared" si="0"/>
        <v>6</v>
      </c>
      <c r="C14" s="121" t="s">
        <v>1300</v>
      </c>
      <c r="D14" s="199"/>
      <c r="E14" s="199"/>
      <c r="F14" s="199"/>
      <c r="G14" s="199"/>
      <c r="H14" s="199"/>
      <c r="I14" s="199"/>
      <c r="J14" s="199"/>
      <c r="K14" s="1295"/>
      <c r="L14" s="199" t="s">
        <v>233</v>
      </c>
      <c r="M14" s="199">
        <f>'pü.mérleg Önkorm.'!M14+'pü.mérleg Hivatal'!M16</f>
        <v>3150</v>
      </c>
      <c r="N14" s="199">
        <f>'pü.mérleg Önkorm.'!N14+'pü.mérleg Hivatal'!N16</f>
        <v>10950</v>
      </c>
      <c r="O14" s="199">
        <f>'pü.mérleg Önkorm.'!O14+'pü.mérleg Hivatal'!O16</f>
        <v>14100</v>
      </c>
      <c r="P14" s="122"/>
      <c r="Q14" s="122"/>
      <c r="R14" s="122">
        <f t="shared" si="1"/>
        <v>3150</v>
      </c>
      <c r="S14" s="122">
        <f t="shared" si="2"/>
        <v>10950</v>
      </c>
      <c r="T14" s="1316">
        <f t="shared" si="3"/>
        <v>14100</v>
      </c>
      <c r="U14" s="10"/>
      <c r="V14" s="10"/>
      <c r="W14" s="10"/>
      <c r="X14" s="10"/>
      <c r="Y14" s="10"/>
    </row>
    <row r="15" spans="1:25" x14ac:dyDescent="0.2">
      <c r="A15" s="1313"/>
      <c r="B15" s="1376">
        <f t="shared" si="0"/>
        <v>7</v>
      </c>
      <c r="C15" s="121" t="s">
        <v>1301</v>
      </c>
      <c r="D15" s="199"/>
      <c r="E15" s="199"/>
      <c r="F15" s="199"/>
      <c r="G15" s="199">
        <f>'pü.mérleg Önkorm.'!G15+'pü.mérleg Hivatal'!G17+'püm. GAMESZ. '!F17+püm.Brunszvik!G17+'püm Festetics'!G17+'püm-TASZII.'!G17</f>
        <v>8750</v>
      </c>
      <c r="H15" s="199">
        <f>'pü.mérleg Önkorm.'!H15+'pü.mérleg Hivatal'!H17+'püm. GAMESZ. '!G17+püm.Brunszvik!H17+'püm Festetics'!H17</f>
        <v>0</v>
      </c>
      <c r="I15" s="199">
        <f>'pü.mérleg Önkorm.'!I15+'pü.mérleg Hivatal'!I17+'püm. GAMESZ. '!H17+püm.Brunszvik!I17+'püm Festetics'!I17</f>
        <v>8750</v>
      </c>
      <c r="J15" s="199">
        <f>'pü.mérleg Önkorm.'!J15+'pü.mérleg Hivatal'!J17+'püm. GAMESZ. '!I17+püm.Brunszvik!J17+'püm Festetics'!J17</f>
        <v>0</v>
      </c>
      <c r="K15" s="1295">
        <f>'pü.mérleg Önkorm.'!K15+'pü.mérleg Hivatal'!K17+'püm. GAMESZ. '!J17+püm.Brunszvik!K17+'püm Festetics'!K17</f>
        <v>8750</v>
      </c>
      <c r="L15" s="199"/>
      <c r="M15" s="199"/>
      <c r="N15" s="199"/>
      <c r="O15" s="199"/>
      <c r="P15" s="122"/>
      <c r="Q15" s="122"/>
      <c r="R15" s="122">
        <f t="shared" si="1"/>
        <v>0</v>
      </c>
      <c r="S15" s="122">
        <f t="shared" si="2"/>
        <v>0</v>
      </c>
      <c r="T15" s="1316">
        <f t="shared" si="3"/>
        <v>0</v>
      </c>
      <c r="U15" s="10"/>
      <c r="V15" s="10"/>
      <c r="W15" s="10"/>
      <c r="X15" s="10"/>
      <c r="Y15" s="10"/>
    </row>
    <row r="16" spans="1:25" x14ac:dyDescent="0.2">
      <c r="A16" s="1313"/>
      <c r="B16" s="1376">
        <f t="shared" si="0"/>
        <v>8</v>
      </c>
      <c r="C16" s="1353" t="s">
        <v>1302</v>
      </c>
      <c r="D16" s="199"/>
      <c r="E16" s="199">
        <v>93253</v>
      </c>
      <c r="F16" s="199">
        <v>93253</v>
      </c>
      <c r="G16" s="199">
        <f>'pü.mérleg Önkorm.'!G16+'pü.mérleg Hivatal'!G18+'püm. GAMESZ. '!F18+püm.Brunszvik!G18+'püm Festetics'!G18+'püm-TASZII.'!G18</f>
        <v>0</v>
      </c>
      <c r="H16" s="199">
        <f>'pü.mérleg Önkorm.'!H16+'pü.mérleg Hivatal'!H18+'püm. GAMESZ. '!G18+püm.Brunszvik!H18+'püm Festetics'!H18</f>
        <v>0</v>
      </c>
      <c r="I16" s="199">
        <f>'pü.mérleg Önkorm.'!I16+'pü.mérleg Hivatal'!I18+'püm. GAMESZ. '!H18+püm.Brunszvik!I18+'püm Festetics'!I18</f>
        <v>0</v>
      </c>
      <c r="J16" s="199">
        <f>'pü.mérleg Önkorm.'!J16+'pü.mérleg Hivatal'!J18+'püm. GAMESZ. '!I18+püm.Brunszvik!J18+'püm Festetics'!J18</f>
        <v>93253</v>
      </c>
      <c r="K16" s="1295">
        <f>'pü.mérleg Önkorm.'!K16+'pü.mérleg Hivatal'!K18+'püm. GAMESZ. '!J18+püm.Brunszvik!K18+'püm Festetics'!K18</f>
        <v>93253</v>
      </c>
      <c r="L16" s="199" t="s">
        <v>234</v>
      </c>
      <c r="M16" s="1274"/>
      <c r="N16" s="1274"/>
      <c r="O16" s="1275"/>
      <c r="P16" s="122"/>
      <c r="Q16" s="122"/>
      <c r="R16" s="122">
        <f t="shared" si="1"/>
        <v>0</v>
      </c>
      <c r="S16" s="122">
        <f t="shared" si="2"/>
        <v>0</v>
      </c>
      <c r="T16" s="1316">
        <f t="shared" si="3"/>
        <v>0</v>
      </c>
      <c r="U16" s="10"/>
      <c r="V16" s="10"/>
      <c r="W16" s="10"/>
      <c r="X16" s="10"/>
      <c r="Y16" s="10"/>
    </row>
    <row r="17" spans="1:25" x14ac:dyDescent="0.2">
      <c r="A17" s="1313"/>
      <c r="B17" s="1376">
        <f t="shared" si="0"/>
        <v>9</v>
      </c>
      <c r="C17" s="121" t="s">
        <v>208</v>
      </c>
      <c r="D17" s="199">
        <f>'pü.mérleg Önkorm.'!D17+'püm. GAMESZ. '!C18+püm.Brunszvik!D18+'püm-TASZII.'!D18+'pü.mérleg Hivatal'!D17+püm.Brunszvik!D18</f>
        <v>456306</v>
      </c>
      <c r="E17" s="199">
        <f>'mük. bev.Önkor és Hivatal '!F40</f>
        <v>779014</v>
      </c>
      <c r="F17" s="199">
        <f>SUM(D17:E17)</f>
        <v>1235320</v>
      </c>
      <c r="G17" s="199">
        <f>'pü.mérleg Önkorm.'!G17+'pü.mérleg Hivatal'!G19+'püm. GAMESZ. '!F19+püm.Brunszvik!G19+'püm Festetics'!G19+'püm-TASZII.'!G19</f>
        <v>32180</v>
      </c>
      <c r="H17" s="199">
        <f>'pü.mérleg Önkorm.'!H17+'pü.mérleg Hivatal'!H19+'püm. GAMESZ. '!G19+püm.Brunszvik!H19+'püm Festetics'!H19</f>
        <v>-32096</v>
      </c>
      <c r="I17" s="199">
        <f>'pü.mérleg Önkorm.'!I17+'pü.mérleg Hivatal'!I19+'püm. GAMESZ. '!H19+püm.Brunszvik!I19+'püm Festetics'!I19</f>
        <v>488486</v>
      </c>
      <c r="J17" s="199">
        <f>'pü.mérleg Önkorm.'!J17+'pü.mérleg Hivatal'!J19+'püm. GAMESZ. '!I19+püm.Brunszvik!J19+'püm Festetics'!J19</f>
        <v>746918</v>
      </c>
      <c r="K17" s="1295">
        <f>'pü.mérleg Önkorm.'!K17+'pü.mérleg Hivatal'!K19+'püm. GAMESZ. '!J19+püm.Brunszvik!K19+'püm Festetics'!K19</f>
        <v>1235404</v>
      </c>
      <c r="L17" s="199" t="s">
        <v>235</v>
      </c>
      <c r="M17" s="199">
        <f>'pü.mérleg Önkorm.'!M17</f>
        <v>5750</v>
      </c>
      <c r="N17" s="199">
        <f>'pü.mérleg Önkorm.'!N17+'pü.mérleg Hivatal'!N18+'püm. GAMESZ. '!M18+püm.Brunszvik!N18+'püm-TASZII.'!N18</f>
        <v>45623</v>
      </c>
      <c r="O17" s="199">
        <f>'pü.mérleg Önkorm.'!O17+'pü.mérleg Hivatal'!O18</f>
        <v>51373</v>
      </c>
      <c r="P17" s="122">
        <v>30</v>
      </c>
      <c r="Q17" s="122">
        <v>18524</v>
      </c>
      <c r="R17" s="122">
        <f t="shared" si="1"/>
        <v>5780</v>
      </c>
      <c r="S17" s="122">
        <f t="shared" si="2"/>
        <v>64147</v>
      </c>
      <c r="T17" s="1316">
        <f t="shared" si="3"/>
        <v>69927</v>
      </c>
      <c r="U17" s="10"/>
      <c r="V17" s="10"/>
      <c r="W17" s="10"/>
      <c r="X17" s="10"/>
      <c r="Y17" s="10"/>
    </row>
    <row r="18" spans="1:25" ht="12" thickBot="1" x14ac:dyDescent="0.25">
      <c r="A18" s="1313"/>
      <c r="B18" s="1376">
        <f t="shared" si="0"/>
        <v>10</v>
      </c>
      <c r="C18" s="123" t="s">
        <v>40</v>
      </c>
      <c r="D18" s="199">
        <f>'pü.mérleg Önkorm.'!D18+'püm. GAMESZ. '!C19+püm.Brunszvik!D19+'püm-TASZII.'!D19+'pü.mérleg Hivatal'!D18+püm.Brunszvik!D19</f>
        <v>0</v>
      </c>
      <c r="E18" s="1275"/>
      <c r="F18" s="1275"/>
      <c r="G18" s="199">
        <f>'pü.mérleg Önkorm.'!G18+'pü.mérleg Hivatal'!G20+'püm. GAMESZ. '!F20+püm.Brunszvik!G20+'püm Festetics'!G20+'püm-TASZII.'!G20</f>
        <v>0</v>
      </c>
      <c r="H18" s="199"/>
      <c r="I18" s="199"/>
      <c r="J18" s="199"/>
      <c r="K18" s="1295"/>
      <c r="L18" s="199" t="s">
        <v>236</v>
      </c>
      <c r="M18" s="199">
        <f>'pü.mérleg Önkorm.'!M18</f>
        <v>116685</v>
      </c>
      <c r="N18" s="199">
        <f>'pü.mérleg Önkorm.'!N18</f>
        <v>170408</v>
      </c>
      <c r="O18" s="199">
        <f>'pü.mérleg Önkorm.'!O18</f>
        <v>287093</v>
      </c>
      <c r="P18" s="122">
        <v>34650</v>
      </c>
      <c r="Q18" s="122">
        <v>375</v>
      </c>
      <c r="R18" s="122">
        <f t="shared" si="1"/>
        <v>151335</v>
      </c>
      <c r="S18" s="122">
        <f t="shared" si="2"/>
        <v>170783</v>
      </c>
      <c r="T18" s="1316">
        <f t="shared" si="3"/>
        <v>322118</v>
      </c>
      <c r="U18" s="10"/>
      <c r="V18" s="10"/>
      <c r="W18" s="10"/>
      <c r="X18" s="10"/>
      <c r="Y18" s="10"/>
    </row>
    <row r="19" spans="1:25" ht="12" thickBot="1" x14ac:dyDescent="0.25">
      <c r="A19" s="1313"/>
      <c r="B19" s="1376">
        <f t="shared" si="0"/>
        <v>11</v>
      </c>
      <c r="C19" s="123"/>
      <c r="D19" s="199"/>
      <c r="E19" s="1275"/>
      <c r="F19" s="1275"/>
      <c r="G19" s="199">
        <f>'pü.mérleg Önkorm.'!G19+'pü.mérleg Hivatal'!G21+'püm. GAMESZ. '!F21+püm.Brunszvik!G21+'püm Festetics'!G21+'püm-TASZII.'!G21</f>
        <v>0</v>
      </c>
      <c r="H19" s="199"/>
      <c r="I19" s="199"/>
      <c r="J19" s="199"/>
      <c r="K19" s="1295"/>
      <c r="L19" s="199" t="s">
        <v>237</v>
      </c>
      <c r="M19" s="199">
        <f>'pü.mérleg Önkorm.'!M19+'pü.mérleg Hivatal'!M20+'püm. GAMESZ. '!L20+püm.Brunszvik!M20+'püm Festetics'!M20+'püm-TASZII.'!M20</f>
        <v>451</v>
      </c>
      <c r="N19" s="199">
        <f>'pü.mérleg Önkorm.'!N19+'pü.mérleg Hivatal'!N20+'püm. GAMESZ. '!M20+püm.Brunszvik!N20+'püm Festetics'!N20+'püm-TASZII.'!N20</f>
        <v>0</v>
      </c>
      <c r="O19" s="199">
        <f>'pü.mérleg Önkorm.'!O19+'pü.mérleg Hivatal'!O20+'püm. GAMESZ. '!N20+püm.Brunszvik!O20+'püm Festetics'!O20+'püm-TASZII.'!O20</f>
        <v>451</v>
      </c>
      <c r="P19" s="122"/>
      <c r="Q19" s="122"/>
      <c r="R19" s="122">
        <f t="shared" si="1"/>
        <v>451</v>
      </c>
      <c r="S19" s="122">
        <f t="shared" si="2"/>
        <v>0</v>
      </c>
      <c r="T19" s="1316">
        <f t="shared" si="3"/>
        <v>451</v>
      </c>
      <c r="U19" s="10"/>
      <c r="V19" s="10"/>
      <c r="W19" s="1372"/>
      <c r="X19" s="10"/>
      <c r="Y19" s="10"/>
    </row>
    <row r="20" spans="1:25" x14ac:dyDescent="0.2">
      <c r="A20" s="1313"/>
      <c r="B20" s="1376">
        <f t="shared" si="0"/>
        <v>12</v>
      </c>
      <c r="C20" s="121" t="s">
        <v>209</v>
      </c>
      <c r="D20" s="199">
        <f>'pü.mérleg Önkorm.'!D20+'pü.mérleg Hivatal'!D20+'püm. GAMESZ. '!C20+püm.Brunszvik!D20+'püm-TASZII.'!D20+'püm Festetics'!D20</f>
        <v>164294</v>
      </c>
      <c r="E20" s="199">
        <f>'pü.mérleg Önkorm.'!E20+'pü.mérleg Hivatal'!E20+'püm. GAMESZ. '!D20+püm.Brunszvik!E20+'püm-TASZII.'!E20+'püm Festetics'!E20</f>
        <v>195202</v>
      </c>
      <c r="F20" s="199">
        <f>SUM(D20:E20)</f>
        <v>359496</v>
      </c>
      <c r="G20" s="199">
        <f>'pü.mérleg Önkorm.'!G20+'pü.mérleg Hivatal'!G22+'püm. GAMESZ. '!F22+püm.Brunszvik!G22+'püm Festetics'!G22+'püm-TASZII.'!G22</f>
        <v>73</v>
      </c>
      <c r="H20" s="199">
        <v>56358</v>
      </c>
      <c r="I20" s="199">
        <f>D20+G20</f>
        <v>164367</v>
      </c>
      <c r="J20" s="199">
        <f>E20+H20</f>
        <v>251560</v>
      </c>
      <c r="K20" s="1295">
        <f>I20+J20</f>
        <v>415927</v>
      </c>
      <c r="L20" s="199" t="s">
        <v>238</v>
      </c>
      <c r="M20" s="199"/>
      <c r="N20" s="199">
        <f>'pü.mérleg Önkorm.'!N20</f>
        <v>64029</v>
      </c>
      <c r="O20" s="1275">
        <f>SUM(M20:N20)</f>
        <v>64029</v>
      </c>
      <c r="P20" s="122"/>
      <c r="Q20" s="122">
        <v>-31047</v>
      </c>
      <c r="R20" s="122">
        <f t="shared" si="1"/>
        <v>0</v>
      </c>
      <c r="S20" s="122">
        <f t="shared" si="2"/>
        <v>32982</v>
      </c>
      <c r="T20" s="1316">
        <f t="shared" si="3"/>
        <v>32982</v>
      </c>
      <c r="U20" s="10"/>
      <c r="V20" s="10"/>
      <c r="W20" s="10"/>
      <c r="X20" s="10"/>
      <c r="Y20" s="10"/>
    </row>
    <row r="21" spans="1:25" x14ac:dyDescent="0.2">
      <c r="A21" s="1313"/>
      <c r="B21" s="1376">
        <f t="shared" si="0"/>
        <v>13</v>
      </c>
      <c r="C21" s="1279"/>
      <c r="D21" s="1275"/>
      <c r="E21" s="1275"/>
      <c r="F21" s="1275"/>
      <c r="G21" s="199"/>
      <c r="H21" s="199"/>
      <c r="I21" s="199"/>
      <c r="J21" s="199"/>
      <c r="K21" s="1295"/>
      <c r="L21" s="199" t="s">
        <v>239</v>
      </c>
      <c r="M21" s="199">
        <f>'pü.mérleg Önkorm.'!M21</f>
        <v>4083</v>
      </c>
      <c r="N21" s="199">
        <f>'pü.mérleg Önkorm.'!N21</f>
        <v>152</v>
      </c>
      <c r="O21" s="1275">
        <f>SUM(M21:N21)</f>
        <v>4235</v>
      </c>
      <c r="P21" s="122">
        <v>1041</v>
      </c>
      <c r="Q21" s="122">
        <v>1419</v>
      </c>
      <c r="R21" s="122">
        <f t="shared" si="1"/>
        <v>5124</v>
      </c>
      <c r="S21" s="122">
        <f t="shared" si="2"/>
        <v>1571</v>
      </c>
      <c r="T21" s="1316">
        <f t="shared" si="3"/>
        <v>6695</v>
      </c>
      <c r="U21" s="10"/>
      <c r="V21" s="10"/>
      <c r="W21" s="10"/>
      <c r="X21" s="10"/>
      <c r="Y21" s="10"/>
    </row>
    <row r="22" spans="1:25" s="100" customFormat="1" x14ac:dyDescent="0.2">
      <c r="A22" s="1314"/>
      <c r="B22" s="1376">
        <f t="shared" si="0"/>
        <v>14</v>
      </c>
      <c r="C22" s="1279" t="s">
        <v>211</v>
      </c>
      <c r="D22" s="1275"/>
      <c r="E22" s="1275"/>
      <c r="F22" s="1275"/>
      <c r="G22" s="199"/>
      <c r="H22" s="199"/>
      <c r="I22" s="199"/>
      <c r="J22" s="199"/>
      <c r="K22" s="1295"/>
      <c r="L22" s="1274"/>
      <c r="M22" s="1274"/>
      <c r="N22" s="1274"/>
      <c r="O22" s="1274"/>
      <c r="P22" s="1288"/>
      <c r="Q22" s="1288"/>
      <c r="R22" s="122"/>
      <c r="S22" s="122"/>
      <c r="T22" s="1316"/>
    </row>
    <row r="23" spans="1:25" s="100" customFormat="1" x14ac:dyDescent="0.2">
      <c r="A23" s="1314"/>
      <c r="B23" s="1376">
        <f t="shared" si="0"/>
        <v>15</v>
      </c>
      <c r="C23" s="1279" t="s">
        <v>210</v>
      </c>
      <c r="D23" s="1275"/>
      <c r="E23" s="1275"/>
      <c r="F23" s="1275"/>
      <c r="G23" s="199"/>
      <c r="H23" s="199"/>
      <c r="I23" s="199"/>
      <c r="J23" s="199"/>
      <c r="K23" s="1295"/>
      <c r="L23" s="1274"/>
      <c r="M23" s="1274"/>
      <c r="N23" s="1274"/>
      <c r="O23" s="1274"/>
      <c r="P23" s="1288"/>
      <c r="Q23" s="1288"/>
      <c r="R23" s="122"/>
      <c r="S23" s="122"/>
      <c r="T23" s="1316"/>
    </row>
    <row r="24" spans="1:25" x14ac:dyDescent="0.2">
      <c r="A24" s="1313"/>
      <c r="B24" s="1376">
        <f t="shared" si="0"/>
        <v>16</v>
      </c>
      <c r="C24" s="121" t="s">
        <v>213</v>
      </c>
      <c r="D24" s="1323"/>
      <c r="E24" s="199">
        <f>'pü.mérleg Önkorm.'!E24+'pü.mérleg Hivatal'!E24+'püm. GAMESZ. '!D24+püm.Brunszvik!E24+'püm-TASZII.'!E24</f>
        <v>6740</v>
      </c>
      <c r="F24" s="1275">
        <f>SUM(D24:E24)</f>
        <v>6740</v>
      </c>
      <c r="G24" s="199">
        <f>'pü.mérleg Önkorm.'!G24+'pü.mérleg Hivatal'!G26+'püm. GAMESZ. '!F26+püm.Brunszvik!G26+'püm Festetics'!G26</f>
        <v>0</v>
      </c>
      <c r="H24" s="199">
        <f>'pü.mérleg Önkorm.'!H24+'pü.mérleg Hivatal'!H26+'püm. GAMESZ. '!G26+püm.Brunszvik!H26+'püm Festetics'!H26</f>
        <v>196721</v>
      </c>
      <c r="I24" s="199"/>
      <c r="J24" s="199">
        <f>'pü.mérleg Önkorm.'!J24+'pü.mérleg Hivatal'!J26+'püm. GAMESZ. '!I26+püm.Brunszvik!J26+'püm Festetics'!J26</f>
        <v>203461</v>
      </c>
      <c r="K24" s="1295">
        <f>'pü.mérleg Önkorm.'!K24+'pü.mérleg Hivatal'!K26+'püm. GAMESZ. '!J26+püm.Brunszvik!K26+'püm Festetics'!K26</f>
        <v>203461</v>
      </c>
      <c r="L24" s="1283" t="s">
        <v>66</v>
      </c>
      <c r="M24" s="1283">
        <f>SUM(M10:M22)</f>
        <v>1399453</v>
      </c>
      <c r="N24" s="1283">
        <f>SUM(N10:N22)</f>
        <v>1202029.32</v>
      </c>
      <c r="O24" s="1283">
        <f>SUM(O10:O22)</f>
        <v>2601482.3200000003</v>
      </c>
      <c r="P24" s="1282">
        <f>SUM(P10:P23)</f>
        <v>58585</v>
      </c>
      <c r="Q24" s="1282">
        <f t="shared" ref="Q24:T24" si="4">SUM(Q10:Q23)</f>
        <v>91496</v>
      </c>
      <c r="R24" s="1282">
        <f t="shared" si="4"/>
        <v>1458038</v>
      </c>
      <c r="S24" s="1282">
        <f t="shared" si="4"/>
        <v>1293525.32</v>
      </c>
      <c r="T24" s="1363">
        <f t="shared" si="4"/>
        <v>2751563.3200000003</v>
      </c>
      <c r="U24" s="10"/>
      <c r="V24" s="10"/>
      <c r="W24" s="10"/>
      <c r="X24" s="10"/>
      <c r="Y24" s="10"/>
    </row>
    <row r="25" spans="1:25" x14ac:dyDescent="0.2">
      <c r="A25" s="1313"/>
      <c r="B25" s="1376">
        <f t="shared" si="0"/>
        <v>17</v>
      </c>
      <c r="C25" s="121" t="s">
        <v>214</v>
      </c>
      <c r="D25" s="1275">
        <f>'felh. bev.  '!D14</f>
        <v>0</v>
      </c>
      <c r="E25" s="1275">
        <f>'felh. bev.  '!E14</f>
        <v>0</v>
      </c>
      <c r="F25" s="1275">
        <f>'felh. bev.  '!F14</f>
        <v>0</v>
      </c>
      <c r="G25" s="199">
        <f>'pü.mérleg Önkorm.'!G25+'pü.mérleg Hivatal'!G27+'püm. GAMESZ. '!F27+püm.Brunszvik!G27+'püm Festetics'!G27</f>
        <v>0</v>
      </c>
      <c r="H25" s="199">
        <v>5553</v>
      </c>
      <c r="I25" s="199">
        <f>D25+G25</f>
        <v>0</v>
      </c>
      <c r="J25" s="199">
        <f>E25+H25</f>
        <v>5553</v>
      </c>
      <c r="K25" s="1295">
        <f>I25+J25</f>
        <v>5553</v>
      </c>
      <c r="L25" s="1274"/>
      <c r="M25" s="1274"/>
      <c r="N25" s="1274"/>
      <c r="O25" s="1274"/>
      <c r="P25" s="122"/>
      <c r="Q25" s="122"/>
      <c r="R25" s="1279"/>
      <c r="S25" s="1279"/>
      <c r="T25" s="1313"/>
      <c r="U25" s="10"/>
      <c r="V25" s="10"/>
      <c r="W25" s="10"/>
      <c r="X25" s="10"/>
      <c r="Y25" s="10"/>
    </row>
    <row r="26" spans="1:25" x14ac:dyDescent="0.2">
      <c r="A26" s="1313"/>
      <c r="B26" s="1376">
        <f t="shared" si="0"/>
        <v>18</v>
      </c>
      <c r="C26" s="121" t="s">
        <v>215</v>
      </c>
      <c r="D26" s="1319"/>
      <c r="E26" s="199"/>
      <c r="F26" s="1275"/>
      <c r="G26" s="199"/>
      <c r="H26" s="199"/>
      <c r="I26" s="199"/>
      <c r="J26" s="199"/>
      <c r="K26" s="1295"/>
      <c r="L26" s="1319" t="s">
        <v>240</v>
      </c>
      <c r="M26" s="1273"/>
      <c r="N26" s="1273"/>
      <c r="O26" s="1274"/>
      <c r="P26" s="122"/>
      <c r="Q26" s="122"/>
      <c r="R26" s="1279"/>
      <c r="S26" s="1279"/>
      <c r="T26" s="1313"/>
      <c r="U26" s="10"/>
      <c r="V26" s="10"/>
      <c r="W26" s="10"/>
      <c r="X26" s="10"/>
      <c r="Y26" s="10"/>
    </row>
    <row r="27" spans="1:25" x14ac:dyDescent="0.2">
      <c r="A27" s="1313"/>
      <c r="B27" s="1376">
        <f t="shared" si="0"/>
        <v>19</v>
      </c>
      <c r="C27" s="121" t="s">
        <v>216</v>
      </c>
      <c r="D27" s="199"/>
      <c r="E27" s="199"/>
      <c r="F27" s="199"/>
      <c r="G27" s="199"/>
      <c r="H27" s="199"/>
      <c r="I27" s="199"/>
      <c r="J27" s="199"/>
      <c r="K27" s="1295"/>
      <c r="L27" s="199" t="s">
        <v>241</v>
      </c>
      <c r="M27" s="1274">
        <f>'pü.mérleg Önkorm.'!M27+'pü.mérleg Hivatal'!M27+'püm. GAMESZ. '!L27+'püm-TASZII.'!M27+püm.Brunszvik!M27+'püm Festetics'!M27</f>
        <v>2015914</v>
      </c>
      <c r="N27" s="1274">
        <f>'pü.mérleg Önkorm.'!N27+'pü.mérleg Hivatal'!N27+'püm. GAMESZ. '!M27+'püm-TASZII.'!N27+'püm Festetics'!N27</f>
        <v>156473</v>
      </c>
      <c r="O27" s="1274">
        <f>SUM(M27:N27)</f>
        <v>2172387</v>
      </c>
      <c r="P27" s="122">
        <v>76480</v>
      </c>
      <c r="Q27" s="122">
        <v>6300</v>
      </c>
      <c r="R27" s="122">
        <f>M27+P27</f>
        <v>2092394</v>
      </c>
      <c r="S27" s="122">
        <f>N27+Q27</f>
        <v>162773</v>
      </c>
      <c r="T27" s="1316">
        <f>R27+S27</f>
        <v>2255167</v>
      </c>
      <c r="U27" s="10"/>
      <c r="V27" s="10"/>
      <c r="W27" s="10"/>
      <c r="X27" s="10"/>
      <c r="Y27" s="10"/>
    </row>
    <row r="28" spans="1:25" x14ac:dyDescent="0.2">
      <c r="A28" s="1313"/>
      <c r="B28" s="1376">
        <f t="shared" si="0"/>
        <v>20</v>
      </c>
      <c r="C28" s="121"/>
      <c r="D28" s="199"/>
      <c r="E28" s="199"/>
      <c r="F28" s="199"/>
      <c r="G28" s="199"/>
      <c r="H28" s="199"/>
      <c r="I28" s="199"/>
      <c r="J28" s="199"/>
      <c r="K28" s="1295"/>
      <c r="L28" s="199" t="s">
        <v>242</v>
      </c>
      <c r="M28" s="1274">
        <f>'felhalm. kiad.  '!M21</f>
        <v>10000</v>
      </c>
      <c r="N28" s="1274">
        <f>'felhalm. kiad.  '!P21</f>
        <v>0</v>
      </c>
      <c r="O28" s="1274">
        <f>SUM(M28:N28)</f>
        <v>10000</v>
      </c>
      <c r="P28" s="122">
        <v>448</v>
      </c>
      <c r="Q28" s="122"/>
      <c r="R28" s="122">
        <f t="shared" ref="R28:R32" si="5">M28+P28</f>
        <v>10448</v>
      </c>
      <c r="S28" s="122">
        <f t="shared" ref="S28:S32" si="6">N28+Q28</f>
        <v>0</v>
      </c>
      <c r="T28" s="1316">
        <f t="shared" ref="T28:T32" si="7">R28+S28</f>
        <v>10448</v>
      </c>
      <c r="U28" s="10"/>
      <c r="V28" s="10"/>
      <c r="W28" s="10"/>
      <c r="X28" s="10"/>
      <c r="Y28" s="10"/>
    </row>
    <row r="29" spans="1:25" x14ac:dyDescent="0.2">
      <c r="A29" s="1313"/>
      <c r="B29" s="1376">
        <f t="shared" si="0"/>
        <v>21</v>
      </c>
      <c r="C29" s="1279" t="s">
        <v>217</v>
      </c>
      <c r="D29" s="199">
        <f>'tám, végl. pe.átv  '!C45</f>
        <v>0</v>
      </c>
      <c r="E29" s="199">
        <f>'tám, végl. pe.átv  '!D45</f>
        <v>62024</v>
      </c>
      <c r="F29" s="199">
        <f>'tám, végl. pe.átv  '!E45</f>
        <v>62024</v>
      </c>
      <c r="G29" s="199">
        <f>'pü.mérleg Önkorm.'!G29+'pü.mérleg Hivatal'!G31+'püm. GAMESZ. '!F31+püm.Brunszvik!G31+'püm Festetics'!G31</f>
        <v>0</v>
      </c>
      <c r="H29" s="199">
        <f>'pü.mérleg Önkorm.'!H29+'pü.mérleg Hivatal'!H31+'püm. GAMESZ. '!G31+püm.Brunszvik!H31+'püm Festetics'!H31</f>
        <v>0</v>
      </c>
      <c r="I29" s="199">
        <f>'pü.mérleg Önkorm.'!I29+'pü.mérleg Hivatal'!I31+'püm. GAMESZ. '!H31+püm.Brunszvik!I31+'püm Festetics'!I31</f>
        <v>0</v>
      </c>
      <c r="J29" s="199">
        <f>'pü.mérleg Önkorm.'!J29+'pü.mérleg Hivatal'!J31+'püm. GAMESZ. '!I31+püm.Brunszvik!J31+'püm Festetics'!J31</f>
        <v>62024</v>
      </c>
      <c r="K29" s="1295">
        <f>'pü.mérleg Önkorm.'!K29+'pü.mérleg Hivatal'!K31+'püm. GAMESZ. '!J31+püm.Brunszvik!K31+'püm Festetics'!K31</f>
        <v>62024</v>
      </c>
      <c r="L29" s="199" t="s">
        <v>243</v>
      </c>
      <c r="M29" s="1274"/>
      <c r="N29" s="1274"/>
      <c r="O29" s="1274"/>
      <c r="P29" s="122"/>
      <c r="Q29" s="122"/>
      <c r="R29" s="122">
        <f t="shared" si="5"/>
        <v>0</v>
      </c>
      <c r="S29" s="122">
        <f t="shared" si="6"/>
        <v>0</v>
      </c>
      <c r="T29" s="1316">
        <f t="shared" si="7"/>
        <v>0</v>
      </c>
      <c r="U29" s="10"/>
      <c r="V29" s="10"/>
      <c r="W29" s="10"/>
      <c r="X29" s="10"/>
      <c r="Y29" s="10"/>
    </row>
    <row r="30" spans="1:25" s="100" customFormat="1" x14ac:dyDescent="0.2">
      <c r="A30" s="1314"/>
      <c r="B30" s="1376">
        <f t="shared" si="0"/>
        <v>22</v>
      </c>
      <c r="C30" s="1279" t="s">
        <v>218</v>
      </c>
      <c r="D30" s="199">
        <f>'felh. bev.  '!D29+'felh. bev.  '!D35</f>
        <v>0</v>
      </c>
      <c r="E30" s="199">
        <f>'felh. bev.  '!E29+'felh. bev.  '!E35</f>
        <v>2870</v>
      </c>
      <c r="F30" s="199">
        <f>'felh. bev.  '!F29+'felh. bev.  '!F35</f>
        <v>2870</v>
      </c>
      <c r="G30" s="199"/>
      <c r="H30" s="199"/>
      <c r="I30" s="199">
        <f>D30+G30</f>
        <v>0</v>
      </c>
      <c r="J30" s="199">
        <f>E30+H30</f>
        <v>2870</v>
      </c>
      <c r="K30" s="1295">
        <f>I30+J30</f>
        <v>2870</v>
      </c>
      <c r="L30" s="1351" t="s">
        <v>245</v>
      </c>
      <c r="M30" s="1274">
        <f>'felhalm. kiad.  '!M84</f>
        <v>0</v>
      </c>
      <c r="N30" s="1274">
        <f>'felhalm. kiad.  '!P84</f>
        <v>0</v>
      </c>
      <c r="O30" s="1274">
        <f>SUM(M30:N30)</f>
        <v>0</v>
      </c>
      <c r="P30" s="1288"/>
      <c r="Q30" s="122">
        <v>3238</v>
      </c>
      <c r="R30" s="122">
        <f t="shared" si="5"/>
        <v>0</v>
      </c>
      <c r="S30" s="122">
        <f t="shared" si="6"/>
        <v>3238</v>
      </c>
      <c r="T30" s="1316">
        <f t="shared" si="7"/>
        <v>3238</v>
      </c>
    </row>
    <row r="31" spans="1:25" x14ac:dyDescent="0.2">
      <c r="A31" s="1313"/>
      <c r="B31" s="1376">
        <f t="shared" si="0"/>
        <v>23</v>
      </c>
      <c r="C31" s="1279"/>
      <c r="D31" s="199"/>
      <c r="E31" s="199"/>
      <c r="F31" s="199"/>
      <c r="G31" s="199"/>
      <c r="H31" s="199"/>
      <c r="I31" s="199"/>
      <c r="J31" s="199"/>
      <c r="K31" s="1295"/>
      <c r="L31" s="1351" t="s">
        <v>296</v>
      </c>
      <c r="M31" s="1274">
        <f>'pü.mérleg Önkorm.'!M31+'pü.mérleg Hivatal'!M31+'püm. GAMESZ. '!L31+'püm-TASZII.'!M31</f>
        <v>33252</v>
      </c>
      <c r="N31" s="1274">
        <f>'pü.mérleg Önkorm.'!N31+'pü.mérleg Hivatal'!N31+'püm. GAMESZ. '!M31+'püm-TASZII.'!N31</f>
        <v>35820</v>
      </c>
      <c r="O31" s="1274">
        <f>SUM(M31:N31)</f>
        <v>69072</v>
      </c>
      <c r="P31" s="122">
        <v>15600</v>
      </c>
      <c r="Q31" s="122">
        <v>-300</v>
      </c>
      <c r="R31" s="122">
        <f t="shared" si="5"/>
        <v>48852</v>
      </c>
      <c r="S31" s="122">
        <f t="shared" si="6"/>
        <v>35520</v>
      </c>
      <c r="T31" s="1316">
        <f t="shared" si="7"/>
        <v>84372</v>
      </c>
      <c r="U31" s="10"/>
      <c r="V31" s="10"/>
      <c r="W31" s="10"/>
      <c r="X31" s="10"/>
      <c r="Y31" s="10"/>
    </row>
    <row r="32" spans="1:25" s="11" customFormat="1" x14ac:dyDescent="0.2">
      <c r="A32" s="1315"/>
      <c r="B32" s="1376">
        <f t="shared" si="0"/>
        <v>24</v>
      </c>
      <c r="C32" s="1284" t="s">
        <v>52</v>
      </c>
      <c r="D32" s="1340">
        <f>D12+D20+D11+D17+D13+D29</f>
        <v>1393059</v>
      </c>
      <c r="E32" s="1340">
        <f>E12+E20+E11+E17+E13+E29</f>
        <v>1135080</v>
      </c>
      <c r="F32" s="1340">
        <f>F12+F20+F11+F17+F13+F29</f>
        <v>2528139</v>
      </c>
      <c r="G32" s="1321">
        <f>'pü.mérleg Önkorm.'!G32+'pü.mérleg Hivatal'!G34+'püm. GAMESZ. '!F34+püm.Brunszvik!G34+'püm Festetics'!G34</f>
        <v>25333</v>
      </c>
      <c r="H32" s="1321">
        <f>H11+H12+H13+H17+H20+H29</f>
        <v>28185</v>
      </c>
      <c r="I32" s="1321">
        <f t="shared" ref="I32:K32" si="8">I11+I12+I13+I17+I20+I29</f>
        <v>1418392</v>
      </c>
      <c r="J32" s="1321">
        <f t="shared" si="8"/>
        <v>1163265</v>
      </c>
      <c r="K32" s="1322">
        <f t="shared" si="8"/>
        <v>2581657</v>
      </c>
      <c r="L32" s="199" t="s">
        <v>297</v>
      </c>
      <c r="M32" s="1274">
        <f>tartalék!C20</f>
        <v>343892</v>
      </c>
      <c r="N32" s="1274">
        <f>tartalék!D20</f>
        <v>0</v>
      </c>
      <c r="O32" s="1274">
        <f>tartalék!E20</f>
        <v>343892</v>
      </c>
      <c r="P32" s="122">
        <v>-105158</v>
      </c>
      <c r="Q32" s="122">
        <v>143934</v>
      </c>
      <c r="R32" s="122">
        <f t="shared" si="5"/>
        <v>238734</v>
      </c>
      <c r="S32" s="122">
        <f t="shared" si="6"/>
        <v>143934</v>
      </c>
      <c r="T32" s="1316">
        <f t="shared" si="7"/>
        <v>382668</v>
      </c>
    </row>
    <row r="33" spans="1:25" x14ac:dyDescent="0.2">
      <c r="A33" s="1313"/>
      <c r="B33" s="1376">
        <f t="shared" si="0"/>
        <v>25</v>
      </c>
      <c r="C33" s="123" t="s">
        <v>67</v>
      </c>
      <c r="D33" s="1323">
        <f>D14+D23+D24+D25+D26+D27+D30</f>
        <v>0</v>
      </c>
      <c r="E33" s="1323">
        <f>E23+E24+E25+E26+E27+E30+E16</f>
        <v>102863</v>
      </c>
      <c r="F33" s="1323">
        <f>F23+F24+F25+F26+F27+F30+F16</f>
        <v>102863</v>
      </c>
      <c r="G33" s="1323">
        <f t="shared" ref="G33:K33" si="9">G23+G24+G25+G26+G27+G30+G16+G15</f>
        <v>8750</v>
      </c>
      <c r="H33" s="1323">
        <f t="shared" si="9"/>
        <v>202274</v>
      </c>
      <c r="I33" s="1323">
        <f>I23+I24+I25+I26+I27+I30+I16+I15</f>
        <v>8750</v>
      </c>
      <c r="J33" s="1323">
        <f t="shared" si="9"/>
        <v>305137</v>
      </c>
      <c r="K33" s="1324">
        <f t="shared" si="9"/>
        <v>313887</v>
      </c>
      <c r="L33" s="1321" t="s">
        <v>68</v>
      </c>
      <c r="M33" s="1283">
        <f>SUM(M27:M32)</f>
        <v>2403058</v>
      </c>
      <c r="N33" s="1283">
        <f>SUM(N27:N32)</f>
        <v>192293</v>
      </c>
      <c r="O33" s="1283">
        <f>SUM(O27:O32)</f>
        <v>2595351</v>
      </c>
      <c r="P33" s="1282">
        <f>SUM(P27:P32)</f>
        <v>-12630</v>
      </c>
      <c r="Q33" s="1282">
        <f t="shared" ref="Q33:T33" si="10">SUM(Q27:Q32)</f>
        <v>153172</v>
      </c>
      <c r="R33" s="1282">
        <f t="shared" si="10"/>
        <v>2390428</v>
      </c>
      <c r="S33" s="1282">
        <f t="shared" si="10"/>
        <v>345465</v>
      </c>
      <c r="T33" s="1363">
        <f t="shared" si="10"/>
        <v>2735893</v>
      </c>
      <c r="U33" s="10"/>
      <c r="V33" s="10"/>
      <c r="W33" s="10"/>
      <c r="X33" s="10"/>
      <c r="Y33" s="10"/>
    </row>
    <row r="34" spans="1:25" x14ac:dyDescent="0.2">
      <c r="A34" s="1313"/>
      <c r="B34" s="1376">
        <f t="shared" si="0"/>
        <v>26</v>
      </c>
      <c r="C34" s="126" t="s">
        <v>51</v>
      </c>
      <c r="D34" s="1319">
        <f>SUM(D32:D33)</f>
        <v>1393059</v>
      </c>
      <c r="E34" s="1319">
        <f>SUM(E32:E33)</f>
        <v>1237943</v>
      </c>
      <c r="F34" s="1319">
        <f>SUM(D34:E34)</f>
        <v>2631002</v>
      </c>
      <c r="G34" s="1319">
        <f>G32+G33</f>
        <v>34083</v>
      </c>
      <c r="H34" s="1319">
        <f t="shared" ref="H34:K34" si="11">H32+H33</f>
        <v>230459</v>
      </c>
      <c r="I34" s="1319">
        <f t="shared" si="11"/>
        <v>1427142</v>
      </c>
      <c r="J34" s="1319">
        <f t="shared" si="11"/>
        <v>1468402</v>
      </c>
      <c r="K34" s="1320">
        <f t="shared" si="11"/>
        <v>2895544</v>
      </c>
      <c r="L34" s="1273" t="s">
        <v>69</v>
      </c>
      <c r="M34" s="1273">
        <f>M24+M33</f>
        <v>3802511</v>
      </c>
      <c r="N34" s="1273">
        <f>N24+N33</f>
        <v>1394322.32</v>
      </c>
      <c r="O34" s="1273">
        <f>O24+O33</f>
        <v>5196833.32</v>
      </c>
      <c r="P34" s="124">
        <f>P24+P33</f>
        <v>45955</v>
      </c>
      <c r="Q34" s="124">
        <f t="shared" ref="Q34:T34" si="12">Q24+Q33</f>
        <v>244668</v>
      </c>
      <c r="R34" s="124">
        <f t="shared" si="12"/>
        <v>3848466</v>
      </c>
      <c r="S34" s="124">
        <f t="shared" si="12"/>
        <v>1638990.32</v>
      </c>
      <c r="T34" s="1293">
        <f t="shared" si="12"/>
        <v>5487456.3200000003</v>
      </c>
      <c r="U34" s="10"/>
      <c r="V34" s="10"/>
      <c r="W34" s="10"/>
      <c r="X34" s="10"/>
      <c r="Y34" s="10"/>
    </row>
    <row r="35" spans="1:25" x14ac:dyDescent="0.2">
      <c r="A35" s="1313"/>
      <c r="B35" s="1376">
        <f t="shared" si="0"/>
        <v>27</v>
      </c>
      <c r="C35" s="1279"/>
      <c r="D35" s="199"/>
      <c r="E35" s="199"/>
      <c r="F35" s="199"/>
      <c r="G35" s="199">
        <f>'pü.mérleg Önkorm.'!G35+'pü.mérleg Hivatal'!G37+'püm. GAMESZ. '!F37+püm.Brunszvik!G37+'püm Festetics'!G37</f>
        <v>0</v>
      </c>
      <c r="H35" s="199">
        <f>'pü.mérleg Önkorm.'!H35+'pü.mérleg Hivatal'!H37+'püm. GAMESZ. '!G37+püm.Brunszvik!H37+'püm Festetics'!H37</f>
        <v>0</v>
      </c>
      <c r="I35" s="199">
        <f>'pü.mérleg Önkorm.'!I35+'pü.mérleg Hivatal'!I37+'püm. GAMESZ. '!H37+püm.Brunszvik!I37+'püm Festetics'!I37</f>
        <v>0</v>
      </c>
      <c r="J35" s="199">
        <f>'pü.mérleg Önkorm.'!J35+'pü.mérleg Hivatal'!J37+'püm. GAMESZ. '!I37+püm.Brunszvik!J37+'püm Festetics'!J37</f>
        <v>0</v>
      </c>
      <c r="K35" s="1295">
        <f>'pü.mérleg Önkorm.'!K35+'pü.mérleg Hivatal'!K37+'püm. GAMESZ. '!J37+püm.Brunszvik!K37+'püm Festetics'!K37</f>
        <v>0</v>
      </c>
      <c r="L35" s="1274"/>
      <c r="M35" s="1274"/>
      <c r="N35" s="1274"/>
      <c r="O35" s="1274"/>
      <c r="P35" s="122"/>
      <c r="Q35" s="122"/>
      <c r="R35" s="1279"/>
      <c r="S35" s="1279"/>
      <c r="T35" s="1313"/>
      <c r="U35" s="10"/>
      <c r="V35" s="10"/>
      <c r="W35" s="10"/>
      <c r="X35" s="10"/>
      <c r="Y35" s="10"/>
    </row>
    <row r="36" spans="1:25" x14ac:dyDescent="0.2">
      <c r="A36" s="1313"/>
      <c r="B36" s="1376">
        <f t="shared" si="0"/>
        <v>28</v>
      </c>
      <c r="C36" s="1364" t="s">
        <v>23</v>
      </c>
      <c r="D36" s="199">
        <f>D34-M34</f>
        <v>-2409452</v>
      </c>
      <c r="E36" s="199">
        <f>E34-N34</f>
        <v>-156379.32000000007</v>
      </c>
      <c r="F36" s="199">
        <f>F34-O34</f>
        <v>-2565831.3200000003</v>
      </c>
      <c r="G36" s="199">
        <f t="shared" ref="G36:K36" si="13">G34-P34</f>
        <v>-11872</v>
      </c>
      <c r="H36" s="199">
        <f t="shared" si="13"/>
        <v>-14209</v>
      </c>
      <c r="I36" s="199">
        <f t="shared" si="13"/>
        <v>-2421324</v>
      </c>
      <c r="J36" s="199">
        <f t="shared" si="13"/>
        <v>-170588.32000000007</v>
      </c>
      <c r="K36" s="1295">
        <f t="shared" si="13"/>
        <v>-2591912.3200000003</v>
      </c>
      <c r="L36" s="1283"/>
      <c r="M36" s="1283"/>
      <c r="N36" s="1283"/>
      <c r="O36" s="1283"/>
      <c r="P36" s="122"/>
      <c r="Q36" s="122"/>
      <c r="R36" s="1279"/>
      <c r="S36" s="1279"/>
      <c r="T36" s="1313"/>
      <c r="U36" s="10"/>
      <c r="V36" s="10"/>
      <c r="W36" s="10"/>
      <c r="X36" s="10"/>
      <c r="Y36" s="10"/>
    </row>
    <row r="37" spans="1:25" s="11" customFormat="1" x14ac:dyDescent="0.2">
      <c r="A37" s="1315"/>
      <c r="B37" s="1376">
        <f t="shared" si="0"/>
        <v>29</v>
      </c>
      <c r="C37" s="1279"/>
      <c r="D37" s="199"/>
      <c r="E37" s="199"/>
      <c r="F37" s="199"/>
      <c r="G37" s="199"/>
      <c r="H37" s="199"/>
      <c r="I37" s="199"/>
      <c r="J37" s="199"/>
      <c r="K37" s="1295"/>
      <c r="L37" s="1274"/>
      <c r="M37" s="1274"/>
      <c r="N37" s="1274"/>
      <c r="O37" s="1274"/>
      <c r="P37" s="124"/>
      <c r="Q37" s="124"/>
      <c r="R37" s="126"/>
      <c r="S37" s="126"/>
      <c r="T37" s="1315"/>
    </row>
    <row r="38" spans="1:25" s="11" customFormat="1" x14ac:dyDescent="0.2">
      <c r="A38" s="1315"/>
      <c r="B38" s="1376">
        <f t="shared" si="0"/>
        <v>30</v>
      </c>
      <c r="C38" s="1272" t="s">
        <v>219</v>
      </c>
      <c r="D38" s="1319"/>
      <c r="E38" s="1319"/>
      <c r="F38" s="1319"/>
      <c r="G38" s="199"/>
      <c r="H38" s="199"/>
      <c r="I38" s="199"/>
      <c r="J38" s="199"/>
      <c r="K38" s="1295"/>
      <c r="L38" s="1319" t="s">
        <v>246</v>
      </c>
      <c r="M38" s="1273"/>
      <c r="N38" s="1273"/>
      <c r="O38" s="1273"/>
      <c r="P38" s="124"/>
      <c r="Q38" s="124"/>
      <c r="R38" s="126"/>
      <c r="S38" s="126"/>
      <c r="T38" s="1315"/>
    </row>
    <row r="39" spans="1:25" s="11" customFormat="1" x14ac:dyDescent="0.2">
      <c r="A39" s="1315"/>
      <c r="B39" s="1376">
        <f t="shared" si="0"/>
        <v>31</v>
      </c>
      <c r="C39" s="1290" t="s">
        <v>220</v>
      </c>
      <c r="D39" s="1319"/>
      <c r="E39" s="1319"/>
      <c r="F39" s="1319"/>
      <c r="G39" s="199"/>
      <c r="H39" s="199"/>
      <c r="I39" s="199"/>
      <c r="J39" s="199"/>
      <c r="K39" s="1295"/>
      <c r="L39" s="1348" t="s">
        <v>247</v>
      </c>
      <c r="M39" s="1273"/>
      <c r="N39" s="1286"/>
      <c r="O39" s="1286"/>
      <c r="P39" s="124"/>
      <c r="Q39" s="124"/>
      <c r="R39" s="126"/>
      <c r="S39" s="126"/>
      <c r="T39" s="1315"/>
    </row>
    <row r="40" spans="1:25" s="1370" customFormat="1" ht="21.75" x14ac:dyDescent="0.2">
      <c r="A40" s="1371"/>
      <c r="B40" s="1377">
        <f t="shared" si="0"/>
        <v>32</v>
      </c>
      <c r="C40" s="1366" t="s">
        <v>1074</v>
      </c>
      <c r="D40" s="1354">
        <f>'pü.mérleg Önkorm.'!D40</f>
        <v>1243160</v>
      </c>
      <c r="E40" s="1354">
        <f>'pü.mérleg Önkorm.'!E40</f>
        <v>0</v>
      </c>
      <c r="F40" s="1354">
        <f>'pü.mérleg Önkorm.'!F40</f>
        <v>1243160</v>
      </c>
      <c r="G40" s="199">
        <f>'pü.mérleg Önkorm.'!G40+'pü.mérleg Hivatal'!G42+'püm. GAMESZ. '!F42+püm.Brunszvik!G42+'püm Festetics'!G42</f>
        <v>0</v>
      </c>
      <c r="H40" s="199">
        <f>'pü.mérleg Önkorm.'!H40+'pü.mérleg Hivatal'!H42+'püm. GAMESZ. '!G42+püm.Brunszvik!H42+'püm Festetics'!H42</f>
        <v>0</v>
      </c>
      <c r="I40" s="199">
        <f>'pü.mérleg Önkorm.'!I40+'pü.mérleg Hivatal'!I42+'püm. GAMESZ. '!H42+püm.Brunszvik!I42+'püm Festetics'!I42</f>
        <v>1243160</v>
      </c>
      <c r="J40" s="199">
        <f>'pü.mérleg Önkorm.'!J40+'pü.mérleg Hivatal'!J42+'püm. GAMESZ. '!I42+püm.Brunszvik!J42+'püm Festetics'!J42</f>
        <v>0</v>
      </c>
      <c r="K40" s="1295">
        <f>'pü.mérleg Önkorm.'!K40+'pü.mérleg Hivatal'!K42+'püm. GAMESZ. '!J42+püm.Brunszvik!K42+'püm Festetics'!K42</f>
        <v>1243160</v>
      </c>
      <c r="L40" s="1367" t="s">
        <v>1010</v>
      </c>
      <c r="M40" s="1368"/>
      <c r="N40" s="1368"/>
      <c r="O40" s="1368"/>
      <c r="P40" s="1373"/>
      <c r="Q40" s="1373"/>
      <c r="R40" s="1369"/>
      <c r="S40" s="1369"/>
      <c r="T40" s="1371"/>
    </row>
    <row r="41" spans="1:25" x14ac:dyDescent="0.2">
      <c r="A41" s="1313"/>
      <c r="B41" s="1376">
        <f t="shared" si="0"/>
        <v>33</v>
      </c>
      <c r="C41" s="95" t="s">
        <v>221</v>
      </c>
      <c r="D41" s="1350"/>
      <c r="E41" s="1348">
        <f>'pü.mérleg Önkorm.'!E41</f>
        <v>0</v>
      </c>
      <c r="F41" s="1348">
        <f>SUM(D41:E41)</f>
        <v>0</v>
      </c>
      <c r="G41" s="199"/>
      <c r="H41" s="199"/>
      <c r="I41" s="199"/>
      <c r="J41" s="199"/>
      <c r="K41" s="1295"/>
      <c r="L41" s="199" t="s">
        <v>248</v>
      </c>
      <c r="M41" s="1273"/>
      <c r="N41" s="1273"/>
      <c r="O41" s="1273"/>
      <c r="P41" s="122"/>
      <c r="Q41" s="122"/>
      <c r="R41" s="1279"/>
      <c r="S41" s="1279"/>
      <c r="T41" s="1313"/>
      <c r="U41" s="10"/>
      <c r="V41" s="10"/>
      <c r="W41" s="10"/>
      <c r="X41" s="10"/>
      <c r="Y41" s="10"/>
    </row>
    <row r="42" spans="1:25" x14ac:dyDescent="0.2">
      <c r="A42" s="1313"/>
      <c r="B42" s="1376">
        <f t="shared" si="0"/>
        <v>34</v>
      </c>
      <c r="C42" s="95" t="s">
        <v>222</v>
      </c>
      <c r="D42" s="199"/>
      <c r="E42" s="199"/>
      <c r="F42" s="199"/>
      <c r="G42" s="199">
        <f>'pü.mérleg Önkorm.'!G42+'pü.mérleg Hivatal'!G44+'püm. GAMESZ. '!F44+püm.Brunszvik!G44+'püm Festetics'!G44</f>
        <v>0</v>
      </c>
      <c r="H42" s="199">
        <f>'pü.mérleg Önkorm.'!H42+'pü.mérleg Hivatal'!H44+'püm. GAMESZ. '!G44+püm.Brunszvik!H44+'püm Festetics'!H44</f>
        <v>0</v>
      </c>
      <c r="I42" s="199">
        <f>'pü.mérleg Önkorm.'!I42+'pü.mérleg Hivatal'!I44+'püm. GAMESZ. '!H44+püm.Brunszvik!I44+'püm Festetics'!I44</f>
        <v>0</v>
      </c>
      <c r="J42" s="199">
        <f>'pü.mérleg Önkorm.'!J42+'pü.mérleg Hivatal'!J44+'püm. GAMESZ. '!I44+püm.Brunszvik!J44+'püm Festetics'!J44</f>
        <v>0</v>
      </c>
      <c r="K42" s="1295">
        <f>'pü.mérleg Önkorm.'!K42+'pü.mérleg Hivatal'!K44+'püm. GAMESZ. '!J44+püm.Brunszvik!K44+'püm Festetics'!K44</f>
        <v>0</v>
      </c>
      <c r="L42" s="199" t="s">
        <v>249</v>
      </c>
      <c r="M42" s="1273"/>
      <c r="N42" s="1273"/>
      <c r="O42" s="1273"/>
      <c r="P42" s="122"/>
      <c r="Q42" s="122"/>
      <c r="R42" s="1279"/>
      <c r="S42" s="1279"/>
      <c r="T42" s="1313"/>
      <c r="U42" s="10"/>
      <c r="V42" s="10"/>
      <c r="W42" s="10"/>
      <c r="X42" s="10"/>
      <c r="Y42" s="10"/>
    </row>
    <row r="43" spans="1:25" x14ac:dyDescent="0.2">
      <c r="A43" s="1313"/>
      <c r="B43" s="1376">
        <f t="shared" si="0"/>
        <v>35</v>
      </c>
      <c r="C43" s="1365" t="s">
        <v>982</v>
      </c>
      <c r="D43" s="199">
        <f>'pü.mérleg Önkorm.'!D43+'pü.mérleg Hivatal'!D43+'püm. GAMESZ. '!C43+püm.Brunszvik!D43+'püm-TASZII.'!D43+'püm Festetics'!D43</f>
        <v>1193985</v>
      </c>
      <c r="E43" s="199">
        <f>'pü.mérleg Önkorm.'!E43+'pü.mérleg Hivatal'!E43+'püm. GAMESZ. '!D43+püm.Brunszvik!E43+'püm-TASZII.'!E43+'püm Festetics'!E43</f>
        <v>160130</v>
      </c>
      <c r="F43" s="199">
        <f>'pü.mérleg Önkorm.'!F43+'pü.mérleg Hivatal'!F43+'püm. GAMESZ. '!E43+püm.Brunszvik!F43+'püm-TASZII.'!F43+'püm Festetics'!F43</f>
        <v>1354115</v>
      </c>
      <c r="G43" s="199">
        <v>11872</v>
      </c>
      <c r="H43" s="199">
        <v>14209</v>
      </c>
      <c r="I43" s="199">
        <f>D43+G43</f>
        <v>1205857</v>
      </c>
      <c r="J43" s="199">
        <f>E43+H43</f>
        <v>174339</v>
      </c>
      <c r="K43" s="1295">
        <f>I43+J43</f>
        <v>1380196</v>
      </c>
      <c r="L43" s="199" t="s">
        <v>250</v>
      </c>
      <c r="M43" s="1273"/>
      <c r="N43" s="1273"/>
      <c r="O43" s="1273"/>
      <c r="P43" s="122"/>
      <c r="Q43" s="122"/>
      <c r="R43" s="1279"/>
      <c r="S43" s="1279"/>
      <c r="T43" s="1313"/>
      <c r="U43" s="10"/>
      <c r="V43" s="10"/>
      <c r="W43" s="10"/>
      <c r="X43" s="10"/>
      <c r="Y43" s="10"/>
    </row>
    <row r="44" spans="1:25" x14ac:dyDescent="0.2">
      <c r="A44" s="1313"/>
      <c r="B44" s="1376">
        <f t="shared" si="0"/>
        <v>36</v>
      </c>
      <c r="C44" s="1365" t="s">
        <v>1012</v>
      </c>
      <c r="D44" s="199"/>
      <c r="E44" s="199"/>
      <c r="F44" s="199"/>
      <c r="G44" s="199"/>
      <c r="H44" s="199"/>
      <c r="I44" s="199"/>
      <c r="J44" s="199"/>
      <c r="K44" s="1295"/>
      <c r="L44" s="199"/>
      <c r="M44" s="1273"/>
      <c r="N44" s="1273"/>
      <c r="O44" s="1273"/>
      <c r="P44" s="122"/>
      <c r="Q44" s="122"/>
      <c r="R44" s="1279"/>
      <c r="S44" s="1279"/>
      <c r="T44" s="1313"/>
      <c r="U44" s="10"/>
      <c r="V44" s="10"/>
      <c r="W44" s="10"/>
      <c r="X44" s="10"/>
      <c r="Y44" s="10"/>
    </row>
    <row r="45" spans="1:25" x14ac:dyDescent="0.2">
      <c r="A45" s="1313"/>
      <c r="B45" s="1376">
        <f t="shared" si="0"/>
        <v>37</v>
      </c>
      <c r="C45" s="95" t="s">
        <v>224</v>
      </c>
      <c r="D45" s="199"/>
      <c r="E45" s="199"/>
      <c r="F45" s="199"/>
      <c r="G45" s="199">
        <f>'pü.mérleg Önkorm.'!G45+'pü.mérleg Hivatal'!G47+'püm. GAMESZ. '!F47+püm.Brunszvik!G47+'püm Festetics'!G47</f>
        <v>1164</v>
      </c>
      <c r="H45" s="199">
        <f>'pü.mérleg Önkorm.'!H45+'pü.mérleg Hivatal'!H47+'püm. GAMESZ. '!G47+püm.Brunszvik!H47+'püm Festetics'!H47</f>
        <v>0</v>
      </c>
      <c r="I45" s="199">
        <f>'pü.mérleg Önkorm.'!I45+'pü.mérleg Hivatal'!I47+'püm. GAMESZ. '!H47+püm.Brunszvik!I47+'püm Festetics'!I47</f>
        <v>1164</v>
      </c>
      <c r="J45" s="199">
        <f>'pü.mérleg Önkorm.'!J45+'pü.mérleg Hivatal'!J47+'püm. GAMESZ. '!I47+püm.Brunszvik!J47+'püm Festetics'!J47</f>
        <v>0</v>
      </c>
      <c r="K45" s="1295">
        <f>'pü.mérleg Önkorm.'!K45+'pü.mérleg Hivatal'!K47+'püm. GAMESZ. '!J47+püm.Brunszvik!K47+'püm Festetics'!K47</f>
        <v>1164</v>
      </c>
      <c r="L45" s="199" t="s">
        <v>251</v>
      </c>
      <c r="M45" s="1273"/>
      <c r="N45" s="1273"/>
      <c r="O45" s="1274"/>
      <c r="P45" s="122"/>
      <c r="Q45" s="122"/>
      <c r="R45" s="1279"/>
      <c r="S45" s="1279"/>
      <c r="T45" s="1313"/>
      <c r="U45" s="10"/>
      <c r="V45" s="10"/>
      <c r="W45" s="10"/>
      <c r="X45" s="10"/>
      <c r="Y45" s="10"/>
    </row>
    <row r="46" spans="1:25" x14ac:dyDescent="0.2">
      <c r="A46" s="1313"/>
      <c r="B46" s="1376">
        <f t="shared" si="0"/>
        <v>38</v>
      </c>
      <c r="C46" s="95" t="s">
        <v>225</v>
      </c>
      <c r="D46" s="1319"/>
      <c r="E46" s="1319"/>
      <c r="F46" s="1319"/>
      <c r="G46" s="199"/>
      <c r="H46" s="199"/>
      <c r="I46" s="199"/>
      <c r="J46" s="199"/>
      <c r="K46" s="1295"/>
      <c r="L46" s="1351" t="s">
        <v>252</v>
      </c>
      <c r="M46" s="1274">
        <f>'pü.mérleg Önkorm.'!M46</f>
        <v>27693</v>
      </c>
      <c r="N46" s="1274">
        <f>'pü.mérleg Önkorm.'!N46</f>
        <v>3751</v>
      </c>
      <c r="O46" s="1274">
        <f>'pü.mérleg Önkorm.'!O46</f>
        <v>31444</v>
      </c>
      <c r="P46" s="122">
        <v>1164</v>
      </c>
      <c r="Q46" s="122"/>
      <c r="R46" s="122">
        <f>M46+P46</f>
        <v>28857</v>
      </c>
      <c r="S46" s="122">
        <f t="shared" ref="S46" si="14">N46+Q46</f>
        <v>3751</v>
      </c>
      <c r="T46" s="1300">
        <f>R46+S46</f>
        <v>32608</v>
      </c>
      <c r="U46" s="10"/>
      <c r="V46" s="10"/>
      <c r="W46" s="10"/>
      <c r="X46" s="10"/>
      <c r="Y46" s="10"/>
    </row>
    <row r="47" spans="1:25" x14ac:dyDescent="0.2">
      <c r="A47" s="1313"/>
      <c r="B47" s="1376">
        <f t="shared" si="0"/>
        <v>39</v>
      </c>
      <c r="C47" s="95" t="s">
        <v>226</v>
      </c>
      <c r="D47" s="199"/>
      <c r="E47" s="199"/>
      <c r="F47" s="199"/>
      <c r="G47" s="199"/>
      <c r="H47" s="199"/>
      <c r="I47" s="199"/>
      <c r="J47" s="199"/>
      <c r="K47" s="1295"/>
      <c r="L47" s="199" t="s">
        <v>253</v>
      </c>
      <c r="M47" s="1274"/>
      <c r="N47" s="1274"/>
      <c r="O47" s="1274"/>
      <c r="P47" s="122"/>
      <c r="Q47" s="122"/>
      <c r="R47" s="122"/>
      <c r="S47" s="122"/>
      <c r="T47" s="1316"/>
      <c r="U47" s="10"/>
      <c r="V47" s="10"/>
      <c r="W47" s="10"/>
      <c r="X47" s="10"/>
      <c r="Y47" s="10"/>
    </row>
    <row r="48" spans="1:25" x14ac:dyDescent="0.2">
      <c r="A48" s="1313"/>
      <c r="B48" s="1376">
        <f t="shared" si="0"/>
        <v>40</v>
      </c>
      <c r="C48" s="1292" t="s">
        <v>227</v>
      </c>
      <c r="D48" s="199"/>
      <c r="E48" s="199"/>
      <c r="F48" s="199"/>
      <c r="G48" s="199"/>
      <c r="H48" s="199"/>
      <c r="I48" s="199"/>
      <c r="J48" s="199"/>
      <c r="K48" s="1295"/>
      <c r="L48" s="199" t="s">
        <v>254</v>
      </c>
      <c r="M48" s="1274"/>
      <c r="N48" s="1274"/>
      <c r="O48" s="1274"/>
      <c r="P48" s="122"/>
      <c r="Q48" s="122"/>
      <c r="R48" s="122"/>
      <c r="S48" s="122"/>
      <c r="T48" s="1316"/>
      <c r="U48" s="10"/>
      <c r="V48" s="10"/>
      <c r="W48" s="10"/>
      <c r="X48" s="10"/>
      <c r="Y48" s="10"/>
    </row>
    <row r="49" spans="1:25" x14ac:dyDescent="0.2">
      <c r="A49" s="1313"/>
      <c r="B49" s="1376">
        <f t="shared" si="0"/>
        <v>41</v>
      </c>
      <c r="C49" s="1292" t="s">
        <v>228</v>
      </c>
      <c r="D49" s="199"/>
      <c r="E49" s="199"/>
      <c r="F49" s="199"/>
      <c r="G49" s="199"/>
      <c r="H49" s="199"/>
      <c r="I49" s="199"/>
      <c r="J49" s="199"/>
      <c r="K49" s="1295"/>
      <c r="L49" s="199" t="s">
        <v>255</v>
      </c>
      <c r="M49" s="1274"/>
      <c r="N49" s="1274"/>
      <c r="O49" s="1274"/>
      <c r="P49" s="122"/>
      <c r="Q49" s="122"/>
      <c r="R49" s="122"/>
      <c r="S49" s="122"/>
      <c r="T49" s="1316"/>
      <c r="U49" s="10"/>
      <c r="V49" s="10"/>
      <c r="W49" s="10"/>
      <c r="X49" s="10"/>
      <c r="Y49" s="10"/>
    </row>
    <row r="50" spans="1:25" x14ac:dyDescent="0.2">
      <c r="A50" s="1313"/>
      <c r="B50" s="1376">
        <f t="shared" si="0"/>
        <v>42</v>
      </c>
      <c r="C50" s="95" t="s">
        <v>229</v>
      </c>
      <c r="D50" s="199"/>
      <c r="E50" s="199"/>
      <c r="F50" s="199"/>
      <c r="G50" s="199"/>
      <c r="H50" s="199"/>
      <c r="I50" s="199"/>
      <c r="J50" s="199"/>
      <c r="K50" s="1295"/>
      <c r="L50" s="199" t="s">
        <v>256</v>
      </c>
      <c r="M50" s="1274"/>
      <c r="N50" s="1274"/>
      <c r="O50" s="1274"/>
      <c r="P50" s="122"/>
      <c r="Q50" s="122"/>
      <c r="R50" s="122"/>
      <c r="S50" s="122"/>
      <c r="T50" s="1316"/>
      <c r="U50" s="10"/>
      <c r="V50" s="10"/>
      <c r="W50" s="10"/>
      <c r="X50" s="10"/>
      <c r="Y50" s="10"/>
    </row>
    <row r="51" spans="1:25" x14ac:dyDescent="0.2">
      <c r="A51" s="1313"/>
      <c r="B51" s="1376">
        <f t="shared" si="0"/>
        <v>43</v>
      </c>
      <c r="C51" s="95"/>
      <c r="D51" s="199"/>
      <c r="E51" s="199"/>
      <c r="F51" s="199"/>
      <c r="G51" s="199"/>
      <c r="H51" s="199"/>
      <c r="I51" s="199"/>
      <c r="J51" s="199"/>
      <c r="K51" s="1295"/>
      <c r="L51" s="199" t="s">
        <v>257</v>
      </c>
      <c r="M51" s="1274"/>
      <c r="N51" s="1274"/>
      <c r="O51" s="1274"/>
      <c r="P51" s="122"/>
      <c r="Q51" s="122"/>
      <c r="R51" s="122"/>
      <c r="S51" s="122"/>
      <c r="T51" s="1316"/>
      <c r="U51" s="10"/>
      <c r="V51" s="10"/>
      <c r="W51" s="10"/>
      <c r="X51" s="10"/>
      <c r="Y51" s="10"/>
    </row>
    <row r="52" spans="1:25" x14ac:dyDescent="0.2">
      <c r="A52" s="1313"/>
      <c r="B52" s="1376">
        <f t="shared" si="0"/>
        <v>44</v>
      </c>
      <c r="C52" s="95"/>
      <c r="D52" s="199"/>
      <c r="E52" s="199"/>
      <c r="F52" s="199"/>
      <c r="G52" s="199"/>
      <c r="H52" s="199"/>
      <c r="I52" s="199"/>
      <c r="J52" s="199"/>
      <c r="K52" s="1295"/>
      <c r="L52" s="199" t="s">
        <v>258</v>
      </c>
      <c r="M52" s="1274"/>
      <c r="N52" s="1274"/>
      <c r="O52" s="1274"/>
      <c r="P52" s="122"/>
      <c r="Q52" s="122"/>
      <c r="R52" s="122"/>
      <c r="S52" s="122"/>
      <c r="T52" s="1316"/>
      <c r="U52" s="10"/>
      <c r="V52" s="10"/>
      <c r="W52" s="10"/>
      <c r="X52" s="10"/>
      <c r="Y52" s="10"/>
    </row>
    <row r="53" spans="1:25" ht="12" thickBot="1" x14ac:dyDescent="0.25">
      <c r="A53" s="1313"/>
      <c r="B53" s="1376">
        <f t="shared" si="0"/>
        <v>45</v>
      </c>
      <c r="C53" s="126" t="s">
        <v>473</v>
      </c>
      <c r="D53" s="1319">
        <f>SUM(D39:D51)</f>
        <v>2437145</v>
      </c>
      <c r="E53" s="1319">
        <f>SUM(E39:E51)</f>
        <v>160130</v>
      </c>
      <c r="F53" s="1319">
        <f>SUM(F39:F51)</f>
        <v>2597275</v>
      </c>
      <c r="G53" s="1319">
        <f>G40+G43+G45</f>
        <v>13036</v>
      </c>
      <c r="H53" s="1319">
        <f t="shared" ref="H53:K53" si="15">H40+H43+H45</f>
        <v>14209</v>
      </c>
      <c r="I53" s="1319">
        <f t="shared" si="15"/>
        <v>2450181</v>
      </c>
      <c r="J53" s="1319">
        <f t="shared" si="15"/>
        <v>174339</v>
      </c>
      <c r="K53" s="1320">
        <f t="shared" si="15"/>
        <v>2624520</v>
      </c>
      <c r="L53" s="1319" t="s">
        <v>466</v>
      </c>
      <c r="M53" s="1273">
        <f>SUM(M39:M52)</f>
        <v>27693</v>
      </c>
      <c r="N53" s="1273">
        <f>SUM(N39:N52)</f>
        <v>3751</v>
      </c>
      <c r="O53" s="1273">
        <f>SUM(O39:O52)</f>
        <v>31444</v>
      </c>
      <c r="P53" s="124">
        <f>P46</f>
        <v>1164</v>
      </c>
      <c r="Q53" s="124">
        <f t="shared" ref="Q53:T53" si="16">Q46</f>
        <v>0</v>
      </c>
      <c r="R53" s="124">
        <f t="shared" si="16"/>
        <v>28857</v>
      </c>
      <c r="S53" s="124">
        <f t="shared" si="16"/>
        <v>3751</v>
      </c>
      <c r="T53" s="1293">
        <f t="shared" si="16"/>
        <v>32608</v>
      </c>
      <c r="U53" s="10"/>
      <c r="V53" s="10"/>
      <c r="W53" s="10"/>
      <c r="X53" s="10"/>
      <c r="Y53" s="10"/>
    </row>
    <row r="54" spans="1:25" ht="12" thickBot="1" x14ac:dyDescent="0.25">
      <c r="A54" s="1313"/>
      <c r="B54" s="737">
        <f t="shared" si="0"/>
        <v>46</v>
      </c>
      <c r="C54" s="1317" t="s">
        <v>468</v>
      </c>
      <c r="D54" s="739">
        <f>D34+D53</f>
        <v>3830204</v>
      </c>
      <c r="E54" s="739">
        <f>E34+E53</f>
        <v>1398073</v>
      </c>
      <c r="F54" s="740">
        <f>F34+F53</f>
        <v>5228277</v>
      </c>
      <c r="G54" s="1325">
        <f>G34+G53</f>
        <v>47119</v>
      </c>
      <c r="H54" s="1325">
        <f t="shared" ref="H54:K54" si="17">H34+H53</f>
        <v>244668</v>
      </c>
      <c r="I54" s="1325">
        <f t="shared" si="17"/>
        <v>3877323</v>
      </c>
      <c r="J54" s="1325">
        <f t="shared" si="17"/>
        <v>1642741</v>
      </c>
      <c r="K54" s="1326">
        <f t="shared" si="17"/>
        <v>5520064</v>
      </c>
      <c r="L54" s="1317" t="s">
        <v>467</v>
      </c>
      <c r="M54" s="739">
        <f>M34+M53</f>
        <v>3830204</v>
      </c>
      <c r="N54" s="739">
        <f>N34+N53</f>
        <v>1398073.32</v>
      </c>
      <c r="O54" s="740">
        <f>O34+O53</f>
        <v>5228277.32</v>
      </c>
      <c r="P54" s="697">
        <f>P34+P53</f>
        <v>47119</v>
      </c>
      <c r="Q54" s="697">
        <f t="shared" ref="Q54:T54" si="18">Q34+Q53</f>
        <v>244668</v>
      </c>
      <c r="R54" s="697">
        <f t="shared" si="18"/>
        <v>3877323</v>
      </c>
      <c r="S54" s="697">
        <f t="shared" si="18"/>
        <v>1642741.32</v>
      </c>
      <c r="T54" s="1338">
        <f t="shared" si="18"/>
        <v>5520064.3200000003</v>
      </c>
      <c r="U54" s="10"/>
      <c r="V54" s="10"/>
      <c r="W54" s="10"/>
      <c r="X54" s="10"/>
      <c r="Y54" s="10"/>
    </row>
    <row r="55" spans="1:25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W55" s="10"/>
      <c r="X55" s="10"/>
      <c r="Y55" s="10"/>
    </row>
    <row r="56" spans="1:25" s="11" customFormat="1" ht="12.75" x14ac:dyDescent="0.2">
      <c r="B56" s="128"/>
      <c r="C56" s="126"/>
      <c r="D56" s="127"/>
      <c r="E56" s="127"/>
      <c r="F56" s="333">
        <f>F54-O54</f>
        <v>-0.32000000029802322</v>
      </c>
      <c r="G56" s="333"/>
      <c r="H56" s="333"/>
      <c r="I56" s="333"/>
      <c r="J56" s="333"/>
      <c r="K56" s="333"/>
      <c r="L56" s="127"/>
      <c r="M56" s="127"/>
      <c r="N56" s="127"/>
      <c r="O56" s="127"/>
      <c r="P56" s="128"/>
      <c r="Q56" s="128"/>
      <c r="R56" s="128"/>
      <c r="S56" s="128"/>
      <c r="T56" s="128"/>
      <c r="U56" s="128"/>
      <c r="V56" s="128"/>
      <c r="W56" s="128"/>
      <c r="X56" s="128"/>
      <c r="Y56" s="128"/>
    </row>
  </sheetData>
  <sheetProtection selectLockedCells="1" selectUnlockedCells="1"/>
  <mergeCells count="15">
    <mergeCell ref="B1:T1"/>
    <mergeCell ref="C3:T3"/>
    <mergeCell ref="B4:T4"/>
    <mergeCell ref="C5:T5"/>
    <mergeCell ref="P7:Q7"/>
    <mergeCell ref="R7:T7"/>
    <mergeCell ref="M6:T6"/>
    <mergeCell ref="D7:F7"/>
    <mergeCell ref="M7:O7"/>
    <mergeCell ref="B6:B8"/>
    <mergeCell ref="C6:C7"/>
    <mergeCell ref="L6:L7"/>
    <mergeCell ref="D6:K6"/>
    <mergeCell ref="G7:H7"/>
    <mergeCell ref="I7:K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4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3"/>
  <sheetViews>
    <sheetView topLeftCell="B4" workbookViewId="0">
      <selection activeCell="G8" sqref="G8:K9"/>
    </sheetView>
  </sheetViews>
  <sheetFormatPr defaultColWidth="9.140625" defaultRowHeight="12" x14ac:dyDescent="0.2"/>
  <cols>
    <col min="1" max="1" width="3.7109375" style="112" hidden="1" customWidth="1"/>
    <col min="2" max="2" width="5.7109375" style="115" customWidth="1"/>
    <col min="3" max="3" width="53" style="111" customWidth="1"/>
    <col min="4" max="4" width="9" style="110" customWidth="1"/>
    <col min="5" max="5" width="9.140625" style="110"/>
    <col min="6" max="6" width="9.7109375" style="110" customWidth="1"/>
    <col min="7" max="16384" width="9.140625" style="13"/>
  </cols>
  <sheetData>
    <row r="1" spans="1:11" x14ac:dyDescent="0.2">
      <c r="B1" s="1473" t="s">
        <v>1264</v>
      </c>
      <c r="C1" s="1473"/>
      <c r="D1" s="1473"/>
      <c r="E1" s="1473"/>
      <c r="F1" s="1473"/>
    </row>
    <row r="2" spans="1:11" x14ac:dyDescent="0.2">
      <c r="B2" s="206"/>
      <c r="C2" s="206"/>
      <c r="D2" s="206"/>
      <c r="E2" s="206"/>
      <c r="F2" s="206"/>
    </row>
    <row r="3" spans="1:11" x14ac:dyDescent="0.2">
      <c r="B3" s="1481" t="s">
        <v>487</v>
      </c>
      <c r="C3" s="1482"/>
      <c r="D3" s="1482"/>
      <c r="E3" s="1482"/>
      <c r="F3" s="1482"/>
    </row>
    <row r="4" spans="1:11" x14ac:dyDescent="0.2">
      <c r="B4" s="1482" t="s">
        <v>1154</v>
      </c>
      <c r="C4" s="1482"/>
      <c r="D4" s="1482"/>
      <c r="E4" s="1483"/>
      <c r="F4" s="1483"/>
    </row>
    <row r="5" spans="1:11" x14ac:dyDescent="0.2">
      <c r="B5" s="109"/>
      <c r="C5" s="109"/>
      <c r="D5" s="109"/>
      <c r="E5" s="207"/>
      <c r="F5" s="207"/>
    </row>
    <row r="6" spans="1:11" x14ac:dyDescent="0.2">
      <c r="B6" s="109"/>
      <c r="C6" s="109"/>
      <c r="D6" s="109"/>
      <c r="E6" s="207"/>
      <c r="F6" s="207"/>
    </row>
    <row r="7" spans="1:11" ht="12.75" x14ac:dyDescent="0.2">
      <c r="B7" s="109"/>
      <c r="C7" s="1474" t="s">
        <v>320</v>
      </c>
      <c r="D7" s="1475"/>
      <c r="E7" s="1475"/>
      <c r="F7" s="1475"/>
    </row>
    <row r="8" spans="1:11" ht="19.149999999999999" customHeight="1" x14ac:dyDescent="0.2">
      <c r="B8" s="1476" t="s">
        <v>77</v>
      </c>
      <c r="C8" s="1478" t="s">
        <v>86</v>
      </c>
      <c r="D8" s="1480" t="s">
        <v>1275</v>
      </c>
      <c r="E8" s="1480"/>
      <c r="F8" s="1480"/>
      <c r="G8" s="1447" t="s">
        <v>1269</v>
      </c>
      <c r="H8" s="1448"/>
      <c r="I8" s="1447" t="s">
        <v>1270</v>
      </c>
      <c r="J8" s="1447"/>
      <c r="K8" s="1447"/>
    </row>
    <row r="9" spans="1:11" s="8" customFormat="1" ht="42.75" customHeight="1" x14ac:dyDescent="0.2">
      <c r="A9" s="113"/>
      <c r="B9" s="1477"/>
      <c r="C9" s="1479"/>
      <c r="D9" s="898" t="s">
        <v>62</v>
      </c>
      <c r="E9" s="898" t="s">
        <v>63</v>
      </c>
      <c r="F9" s="898" t="s">
        <v>64</v>
      </c>
      <c r="G9" s="762" t="s">
        <v>62</v>
      </c>
      <c r="H9" s="762" t="s">
        <v>63</v>
      </c>
      <c r="I9" s="762" t="s">
        <v>62</v>
      </c>
      <c r="J9" s="762" t="s">
        <v>63</v>
      </c>
      <c r="K9" s="762" t="s">
        <v>64</v>
      </c>
    </row>
    <row r="10" spans="1:11" ht="14.25" customHeight="1" x14ac:dyDescent="0.2">
      <c r="B10" s="899" t="s">
        <v>507</v>
      </c>
      <c r="C10" s="900" t="s">
        <v>459</v>
      </c>
      <c r="D10" s="901"/>
      <c r="E10" s="902"/>
      <c r="F10" s="902"/>
      <c r="G10" s="903"/>
      <c r="H10" s="903"/>
      <c r="I10" s="903"/>
      <c r="J10" s="903"/>
      <c r="K10" s="903"/>
    </row>
    <row r="11" spans="1:11" ht="28.9" customHeight="1" x14ac:dyDescent="0.2">
      <c r="B11" s="904" t="s">
        <v>515</v>
      </c>
      <c r="C11" s="905" t="s">
        <v>479</v>
      </c>
      <c r="D11" s="906"/>
      <c r="E11" s="906"/>
      <c r="F11" s="906"/>
      <c r="G11" s="903"/>
      <c r="H11" s="903"/>
      <c r="I11" s="903"/>
      <c r="J11" s="903"/>
      <c r="K11" s="903"/>
    </row>
    <row r="12" spans="1:11" x14ac:dyDescent="0.2">
      <c r="B12" s="899" t="s">
        <v>516</v>
      </c>
      <c r="C12" s="907" t="s">
        <v>460</v>
      </c>
      <c r="D12" s="902"/>
      <c r="E12" s="902"/>
      <c r="F12" s="902"/>
      <c r="G12" s="903"/>
      <c r="H12" s="903"/>
      <c r="I12" s="903"/>
      <c r="J12" s="903"/>
      <c r="K12" s="903"/>
    </row>
    <row r="13" spans="1:11" x14ac:dyDescent="0.2">
      <c r="B13" s="899" t="s">
        <v>517</v>
      </c>
      <c r="C13" s="907" t="s">
        <v>1112</v>
      </c>
      <c r="D13" s="902"/>
      <c r="E13" s="902">
        <v>18116</v>
      </c>
      <c r="F13" s="902">
        <f t="shared" ref="F13:F21" si="0">SUM(D13:E13)</f>
        <v>18116</v>
      </c>
      <c r="G13" s="903"/>
      <c r="H13" s="903"/>
      <c r="I13" s="903"/>
      <c r="J13" s="903"/>
      <c r="K13" s="903"/>
    </row>
    <row r="14" spans="1:11" x14ac:dyDescent="0.2">
      <c r="B14" s="899" t="s">
        <v>518</v>
      </c>
      <c r="C14" s="907" t="s">
        <v>1111</v>
      </c>
      <c r="D14" s="902"/>
      <c r="E14" s="902">
        <v>24154</v>
      </c>
      <c r="F14" s="902">
        <f t="shared" si="0"/>
        <v>24154</v>
      </c>
      <c r="G14" s="903"/>
      <c r="H14" s="903"/>
      <c r="I14" s="903"/>
      <c r="J14" s="903"/>
      <c r="K14" s="903"/>
    </row>
    <row r="15" spans="1:11" x14ac:dyDescent="0.2">
      <c r="B15" s="899" t="s">
        <v>519</v>
      </c>
      <c r="C15" s="907" t="s">
        <v>954</v>
      </c>
      <c r="D15" s="902">
        <v>0</v>
      </c>
      <c r="E15" s="902"/>
      <c r="F15" s="902">
        <f t="shared" si="0"/>
        <v>0</v>
      </c>
      <c r="G15" s="903"/>
      <c r="H15" s="903"/>
      <c r="I15" s="903"/>
      <c r="J15" s="903"/>
      <c r="K15" s="903"/>
    </row>
    <row r="16" spans="1:11" x14ac:dyDescent="0.2">
      <c r="B16" s="899" t="s">
        <v>520</v>
      </c>
      <c r="C16" s="907" t="s">
        <v>461</v>
      </c>
      <c r="D16" s="902">
        <v>4500</v>
      </c>
      <c r="E16" s="902"/>
      <c r="F16" s="902">
        <f t="shared" si="0"/>
        <v>4500</v>
      </c>
      <c r="G16" s="903"/>
      <c r="H16" s="903"/>
      <c r="I16" s="903"/>
      <c r="J16" s="903"/>
      <c r="K16" s="903"/>
    </row>
    <row r="17" spans="1:11" x14ac:dyDescent="0.2">
      <c r="B17" s="899" t="s">
        <v>521</v>
      </c>
      <c r="C17" s="908" t="s">
        <v>462</v>
      </c>
      <c r="D17" s="902"/>
      <c r="E17" s="902">
        <v>2000</v>
      </c>
      <c r="F17" s="902">
        <f t="shared" si="0"/>
        <v>2000</v>
      </c>
      <c r="G17" s="903"/>
      <c r="H17" s="903"/>
      <c r="I17" s="903"/>
      <c r="J17" s="903"/>
      <c r="K17" s="903"/>
    </row>
    <row r="18" spans="1:11" ht="13.5" customHeight="1" x14ac:dyDescent="0.2">
      <c r="B18" s="899" t="s">
        <v>522</v>
      </c>
      <c r="C18" s="908" t="s">
        <v>495</v>
      </c>
      <c r="D18" s="902">
        <v>1250</v>
      </c>
      <c r="E18" s="902"/>
      <c r="F18" s="902">
        <f t="shared" si="0"/>
        <v>1250</v>
      </c>
      <c r="G18" s="903"/>
      <c r="H18" s="903"/>
      <c r="I18" s="903"/>
      <c r="J18" s="903"/>
      <c r="K18" s="903"/>
    </row>
    <row r="19" spans="1:11" ht="13.5" customHeight="1" x14ac:dyDescent="0.2">
      <c r="B19" s="899" t="s">
        <v>564</v>
      </c>
      <c r="C19" s="909" t="s">
        <v>327</v>
      </c>
      <c r="D19" s="910"/>
      <c r="E19" s="910">
        <v>50</v>
      </c>
      <c r="F19" s="910">
        <f t="shared" si="0"/>
        <v>50</v>
      </c>
      <c r="G19" s="903"/>
      <c r="H19" s="903"/>
      <c r="I19" s="903"/>
      <c r="J19" s="903"/>
      <c r="K19" s="903"/>
    </row>
    <row r="20" spans="1:11" ht="13.5" customHeight="1" x14ac:dyDescent="0.2">
      <c r="B20" s="899" t="s">
        <v>565</v>
      </c>
      <c r="C20" s="909" t="s">
        <v>1144</v>
      </c>
      <c r="D20" s="910"/>
      <c r="E20" s="910">
        <v>1112</v>
      </c>
      <c r="F20" s="910">
        <f t="shared" si="0"/>
        <v>1112</v>
      </c>
      <c r="G20" s="903"/>
      <c r="H20" s="903"/>
      <c r="I20" s="903"/>
      <c r="J20" s="903"/>
      <c r="K20" s="903"/>
    </row>
    <row r="21" spans="1:11" ht="13.5" customHeight="1" x14ac:dyDescent="0.2">
      <c r="B21" s="899" t="s">
        <v>566</v>
      </c>
      <c r="C21" s="909" t="s">
        <v>1225</v>
      </c>
      <c r="D21" s="910"/>
      <c r="E21" s="910">
        <v>191</v>
      </c>
      <c r="F21" s="910">
        <f t="shared" si="0"/>
        <v>191</v>
      </c>
      <c r="G21" s="903"/>
      <c r="H21" s="903"/>
      <c r="I21" s="903"/>
      <c r="J21" s="903"/>
      <c r="K21" s="903"/>
    </row>
    <row r="22" spans="1:11" ht="13.5" customHeight="1" x14ac:dyDescent="0.2">
      <c r="B22" s="899"/>
      <c r="C22" s="909"/>
      <c r="D22" s="910"/>
      <c r="E22" s="910"/>
      <c r="F22" s="910"/>
      <c r="G22" s="903"/>
      <c r="H22" s="903"/>
      <c r="I22" s="903"/>
      <c r="J22" s="903"/>
      <c r="K22" s="903"/>
    </row>
    <row r="23" spans="1:11" ht="13.5" customHeight="1" thickBot="1" x14ac:dyDescent="0.25">
      <c r="B23" s="922"/>
      <c r="C23" s="923"/>
      <c r="D23" s="924"/>
      <c r="E23" s="924"/>
      <c r="F23" s="924"/>
      <c r="G23" s="918"/>
      <c r="H23" s="918"/>
      <c r="I23" s="918"/>
      <c r="J23" s="918"/>
      <c r="K23" s="918"/>
    </row>
    <row r="24" spans="1:11" ht="15" customHeight="1" thickBot="1" x14ac:dyDescent="0.25">
      <c r="B24" s="929" t="s">
        <v>567</v>
      </c>
      <c r="C24" s="597" t="s">
        <v>480</v>
      </c>
      <c r="D24" s="598">
        <f>SUM(D13:D20)</f>
        <v>5750</v>
      </c>
      <c r="E24" s="598">
        <f>SUM(E13:E21)</f>
        <v>45623</v>
      </c>
      <c r="F24" s="598">
        <f>SUM(F13:F21)</f>
        <v>51373</v>
      </c>
      <c r="G24" s="920"/>
      <c r="H24" s="920"/>
      <c r="I24" s="920"/>
      <c r="J24" s="920"/>
      <c r="K24" s="921"/>
    </row>
    <row r="25" spans="1:11" x14ac:dyDescent="0.2">
      <c r="B25" s="925" t="s">
        <v>568</v>
      </c>
      <c r="C25" s="926"/>
      <c r="D25" s="927"/>
      <c r="E25" s="927"/>
      <c r="F25" s="927"/>
      <c r="G25" s="928"/>
      <c r="H25" s="928"/>
      <c r="I25" s="928"/>
      <c r="J25" s="928"/>
      <c r="K25" s="928"/>
    </row>
    <row r="26" spans="1:11" x14ac:dyDescent="0.2">
      <c r="B26" s="899" t="s">
        <v>569</v>
      </c>
      <c r="C26" s="911" t="s">
        <v>481</v>
      </c>
      <c r="D26" s="902"/>
      <c r="E26" s="902"/>
      <c r="F26" s="902"/>
      <c r="G26" s="903"/>
      <c r="H26" s="903"/>
      <c r="I26" s="903"/>
      <c r="J26" s="903"/>
      <c r="K26" s="903"/>
    </row>
    <row r="27" spans="1:11" s="8" customFormat="1" ht="15.6" customHeight="1" x14ac:dyDescent="0.2">
      <c r="A27" s="113"/>
      <c r="B27" s="899" t="s">
        <v>570</v>
      </c>
      <c r="C27" s="908" t="s">
        <v>496</v>
      </c>
      <c r="D27" s="902">
        <v>103258</v>
      </c>
      <c r="E27" s="902"/>
      <c r="F27" s="902">
        <f>D27</f>
        <v>103258</v>
      </c>
      <c r="G27" s="822"/>
      <c r="H27" s="822"/>
      <c r="I27" s="822"/>
      <c r="J27" s="822"/>
      <c r="K27" s="822"/>
    </row>
    <row r="28" spans="1:11" s="8" customFormat="1" ht="12" customHeight="1" x14ac:dyDescent="0.2">
      <c r="A28" s="113"/>
      <c r="B28" s="899" t="s">
        <v>571</v>
      </c>
      <c r="C28" s="908" t="s">
        <v>332</v>
      </c>
      <c r="D28" s="902">
        <v>12627</v>
      </c>
      <c r="E28" s="902"/>
      <c r="F28" s="902">
        <f t="shared" ref="F28:F33" si="1">SUM(D28:E28)</f>
        <v>12627</v>
      </c>
      <c r="G28" s="822"/>
      <c r="H28" s="822"/>
      <c r="I28" s="822"/>
      <c r="J28" s="822"/>
      <c r="K28" s="822"/>
    </row>
    <row r="29" spans="1:11" s="8" customFormat="1" ht="12" customHeight="1" x14ac:dyDescent="0.2">
      <c r="A29" s="113"/>
      <c r="B29" s="899" t="s">
        <v>573</v>
      </c>
      <c r="C29" s="908" t="s">
        <v>1025</v>
      </c>
      <c r="D29" s="902"/>
      <c r="E29" s="902"/>
      <c r="F29" s="902">
        <f t="shared" si="1"/>
        <v>0</v>
      </c>
      <c r="G29" s="822"/>
      <c r="H29" s="822"/>
      <c r="I29" s="822"/>
      <c r="J29" s="822"/>
      <c r="K29" s="822"/>
    </row>
    <row r="30" spans="1:11" s="8" customFormat="1" x14ac:dyDescent="0.2">
      <c r="A30" s="113"/>
      <c r="B30" s="899" t="s">
        <v>574</v>
      </c>
      <c r="C30" s="907" t="s">
        <v>1166</v>
      </c>
      <c r="D30" s="902"/>
      <c r="E30" s="902">
        <v>19500</v>
      </c>
      <c r="F30" s="902">
        <f t="shared" si="1"/>
        <v>19500</v>
      </c>
      <c r="G30" s="822"/>
      <c r="H30" s="822"/>
      <c r="I30" s="822"/>
      <c r="J30" s="822"/>
      <c r="K30" s="822"/>
    </row>
    <row r="31" spans="1:11" s="8" customFormat="1" x14ac:dyDescent="0.2">
      <c r="A31" s="113"/>
      <c r="B31" s="899" t="s">
        <v>575</v>
      </c>
      <c r="C31" s="907" t="s">
        <v>330</v>
      </c>
      <c r="D31" s="902"/>
      <c r="E31" s="902">
        <v>75000</v>
      </c>
      <c r="F31" s="902">
        <f t="shared" si="1"/>
        <v>75000</v>
      </c>
      <c r="G31" s="822"/>
      <c r="H31" s="822"/>
      <c r="I31" s="822"/>
      <c r="J31" s="822"/>
      <c r="K31" s="822"/>
    </row>
    <row r="32" spans="1:11" s="8" customFormat="1" x14ac:dyDescent="0.2">
      <c r="A32" s="113"/>
      <c r="B32" s="899" t="s">
        <v>576</v>
      </c>
      <c r="C32" s="907" t="s">
        <v>1162</v>
      </c>
      <c r="D32" s="902"/>
      <c r="E32" s="902">
        <v>5000</v>
      </c>
      <c r="F32" s="902">
        <f t="shared" si="1"/>
        <v>5000</v>
      </c>
      <c r="G32" s="822"/>
      <c r="H32" s="822"/>
      <c r="I32" s="822"/>
      <c r="J32" s="822"/>
      <c r="K32" s="822"/>
    </row>
    <row r="33" spans="1:11" s="8" customFormat="1" x14ac:dyDescent="0.2">
      <c r="A33" s="113"/>
      <c r="B33" s="899" t="s">
        <v>577</v>
      </c>
      <c r="C33" s="907" t="s">
        <v>72</v>
      </c>
      <c r="D33" s="902"/>
      <c r="E33" s="902">
        <v>50000</v>
      </c>
      <c r="F33" s="902">
        <f t="shared" si="1"/>
        <v>50000</v>
      </c>
      <c r="G33" s="822"/>
      <c r="H33" s="822"/>
      <c r="I33" s="822"/>
      <c r="J33" s="822"/>
      <c r="K33" s="822"/>
    </row>
    <row r="34" spans="1:11" s="8" customFormat="1" x14ac:dyDescent="0.2">
      <c r="A34" s="113"/>
      <c r="B34" s="899" t="s">
        <v>578</v>
      </c>
      <c r="C34" s="912" t="s">
        <v>193</v>
      </c>
      <c r="D34" s="906"/>
      <c r="E34" s="906">
        <v>3500</v>
      </c>
      <c r="F34" s="906">
        <f>D34+E34</f>
        <v>3500</v>
      </c>
      <c r="G34" s="822"/>
      <c r="H34" s="822"/>
      <c r="I34" s="822"/>
      <c r="J34" s="822"/>
      <c r="K34" s="822"/>
    </row>
    <row r="35" spans="1:11" s="8" customFormat="1" x14ac:dyDescent="0.2">
      <c r="A35" s="113"/>
      <c r="B35" s="899" t="s">
        <v>579</v>
      </c>
      <c r="C35" s="912" t="s">
        <v>331</v>
      </c>
      <c r="D35" s="906"/>
      <c r="E35" s="906">
        <v>3500</v>
      </c>
      <c r="F35" s="906">
        <f>D35+E35</f>
        <v>3500</v>
      </c>
      <c r="G35" s="822"/>
      <c r="H35" s="822"/>
      <c r="I35" s="822"/>
      <c r="J35" s="822"/>
      <c r="K35" s="822"/>
    </row>
    <row r="36" spans="1:11" s="8" customFormat="1" x14ac:dyDescent="0.2">
      <c r="A36" s="113"/>
      <c r="B36" s="899" t="s">
        <v>580</v>
      </c>
      <c r="C36" s="912" t="s">
        <v>333</v>
      </c>
      <c r="D36" s="906"/>
      <c r="E36" s="906">
        <v>250</v>
      </c>
      <c r="F36" s="906">
        <f>D36+E36</f>
        <v>250</v>
      </c>
      <c r="G36" s="822"/>
      <c r="H36" s="822"/>
      <c r="I36" s="822"/>
      <c r="J36" s="822"/>
      <c r="K36" s="822"/>
    </row>
    <row r="37" spans="1:11" s="8" customFormat="1" x14ac:dyDescent="0.2">
      <c r="A37" s="113"/>
      <c r="B37" s="899" t="s">
        <v>600</v>
      </c>
      <c r="C37" s="907" t="s">
        <v>334</v>
      </c>
      <c r="D37" s="906"/>
      <c r="E37" s="906">
        <v>1500</v>
      </c>
      <c r="F37" s="906">
        <f>E37</f>
        <v>1500</v>
      </c>
      <c r="G37" s="822"/>
      <c r="H37" s="822"/>
      <c r="I37" s="822"/>
      <c r="J37" s="822"/>
      <c r="K37" s="822"/>
    </row>
    <row r="38" spans="1:11" s="8" customFormat="1" x14ac:dyDescent="0.2">
      <c r="A38" s="113"/>
      <c r="B38" s="899" t="s">
        <v>601</v>
      </c>
      <c r="C38" s="907" t="s">
        <v>181</v>
      </c>
      <c r="D38" s="906"/>
      <c r="E38" s="906">
        <v>0</v>
      </c>
      <c r="F38" s="906">
        <f>SUM(D38:E38)</f>
        <v>0</v>
      </c>
      <c r="G38" s="913"/>
      <c r="H38" s="822"/>
      <c r="I38" s="822"/>
      <c r="J38" s="822"/>
      <c r="K38" s="822"/>
    </row>
    <row r="39" spans="1:11" s="8" customFormat="1" x14ac:dyDescent="0.2">
      <c r="A39" s="113"/>
      <c r="B39" s="899" t="s">
        <v>602</v>
      </c>
      <c r="C39" s="907" t="s">
        <v>182</v>
      </c>
      <c r="D39" s="906"/>
      <c r="E39" s="906">
        <v>300</v>
      </c>
      <c r="F39" s="906">
        <f t="shared" ref="F39:F55" si="2">D39+E39</f>
        <v>300</v>
      </c>
      <c r="G39" s="822"/>
      <c r="H39" s="822"/>
      <c r="I39" s="822"/>
      <c r="J39" s="822"/>
      <c r="K39" s="822"/>
    </row>
    <row r="40" spans="1:11" s="8" customFormat="1" x14ac:dyDescent="0.2">
      <c r="A40" s="113"/>
      <c r="B40" s="899" t="s">
        <v>603</v>
      </c>
      <c r="C40" s="907" t="s">
        <v>183</v>
      </c>
      <c r="D40" s="906"/>
      <c r="E40" s="906">
        <v>2000</v>
      </c>
      <c r="F40" s="906">
        <f t="shared" si="2"/>
        <v>2000</v>
      </c>
      <c r="G40" s="822"/>
      <c r="H40" s="822"/>
      <c r="I40" s="822"/>
      <c r="J40" s="822"/>
      <c r="K40" s="822"/>
    </row>
    <row r="41" spans="1:11" s="8" customFormat="1" x14ac:dyDescent="0.2">
      <c r="A41" s="113"/>
      <c r="B41" s="899" t="s">
        <v>604</v>
      </c>
      <c r="C41" s="907" t="s">
        <v>303</v>
      </c>
      <c r="D41" s="906"/>
      <c r="E41" s="906">
        <v>1000</v>
      </c>
      <c r="F41" s="906">
        <f t="shared" si="2"/>
        <v>1000</v>
      </c>
      <c r="G41" s="822"/>
      <c r="H41" s="822"/>
      <c r="I41" s="822"/>
      <c r="J41" s="822"/>
      <c r="K41" s="822"/>
    </row>
    <row r="42" spans="1:11" s="8" customFormat="1" x14ac:dyDescent="0.2">
      <c r="A42" s="113"/>
      <c r="B42" s="899" t="s">
        <v>605</v>
      </c>
      <c r="C42" s="907" t="s">
        <v>304</v>
      </c>
      <c r="D42" s="906"/>
      <c r="E42" s="906">
        <v>2000</v>
      </c>
      <c r="F42" s="906">
        <f t="shared" si="2"/>
        <v>2000</v>
      </c>
      <c r="G42" s="822"/>
      <c r="H42" s="822"/>
      <c r="I42" s="822"/>
      <c r="J42" s="822"/>
      <c r="K42" s="822"/>
    </row>
    <row r="43" spans="1:11" s="8" customFormat="1" x14ac:dyDescent="0.2">
      <c r="A43" s="113"/>
      <c r="B43" s="899" t="s">
        <v>606</v>
      </c>
      <c r="C43" s="907" t="s">
        <v>987</v>
      </c>
      <c r="D43" s="906"/>
      <c r="E43" s="906">
        <v>1000</v>
      </c>
      <c r="F43" s="906">
        <f t="shared" si="2"/>
        <v>1000</v>
      </c>
      <c r="G43" s="822"/>
      <c r="H43" s="822"/>
      <c r="I43" s="822"/>
      <c r="J43" s="822"/>
      <c r="K43" s="822"/>
    </row>
    <row r="44" spans="1:11" s="8" customFormat="1" x14ac:dyDescent="0.2">
      <c r="A44" s="113"/>
      <c r="B44" s="899" t="s">
        <v>607</v>
      </c>
      <c r="C44" s="907" t="s">
        <v>988</v>
      </c>
      <c r="D44" s="906"/>
      <c r="E44" s="906">
        <v>400</v>
      </c>
      <c r="F44" s="906">
        <f t="shared" si="2"/>
        <v>400</v>
      </c>
      <c r="G44" s="822"/>
      <c r="H44" s="822"/>
      <c r="I44" s="822"/>
      <c r="J44" s="822"/>
      <c r="K44" s="822"/>
    </row>
    <row r="45" spans="1:11" s="8" customFormat="1" x14ac:dyDescent="0.2">
      <c r="A45" s="113"/>
      <c r="B45" s="899" t="s">
        <v>608</v>
      </c>
      <c r="C45" s="907" t="s">
        <v>1021</v>
      </c>
      <c r="D45" s="906"/>
      <c r="E45" s="906">
        <v>100</v>
      </c>
      <c r="F45" s="906">
        <f t="shared" si="2"/>
        <v>100</v>
      </c>
      <c r="G45" s="822"/>
      <c r="H45" s="822"/>
      <c r="I45" s="822"/>
      <c r="J45" s="822"/>
      <c r="K45" s="822"/>
    </row>
    <row r="46" spans="1:11" s="8" customFormat="1" ht="12.75" customHeight="1" x14ac:dyDescent="0.2">
      <c r="A46" s="113"/>
      <c r="B46" s="899" t="s">
        <v>663</v>
      </c>
      <c r="C46" s="907" t="s">
        <v>1165</v>
      </c>
      <c r="D46" s="906"/>
      <c r="E46" s="906">
        <v>900</v>
      </c>
      <c r="F46" s="906">
        <f t="shared" si="2"/>
        <v>900</v>
      </c>
      <c r="G46" s="822"/>
      <c r="H46" s="822"/>
      <c r="I46" s="822"/>
      <c r="J46" s="822"/>
      <c r="K46" s="822"/>
    </row>
    <row r="47" spans="1:11" s="8" customFormat="1" x14ac:dyDescent="0.2">
      <c r="A47" s="113"/>
      <c r="B47" s="899" t="s">
        <v>664</v>
      </c>
      <c r="C47" s="907" t="s">
        <v>1022</v>
      </c>
      <c r="D47" s="906"/>
      <c r="E47" s="906">
        <v>100</v>
      </c>
      <c r="F47" s="906">
        <f t="shared" si="2"/>
        <v>100</v>
      </c>
      <c r="G47" s="822"/>
      <c r="H47" s="822"/>
      <c r="I47" s="822"/>
      <c r="J47" s="822"/>
      <c r="K47" s="822"/>
    </row>
    <row r="48" spans="1:11" s="8" customFormat="1" x14ac:dyDescent="0.2">
      <c r="A48" s="113"/>
      <c r="B48" s="899" t="s">
        <v>665</v>
      </c>
      <c r="C48" s="914" t="s">
        <v>1023</v>
      </c>
      <c r="D48" s="915"/>
      <c r="E48" s="915">
        <v>50</v>
      </c>
      <c r="F48" s="915">
        <f t="shared" si="2"/>
        <v>50</v>
      </c>
      <c r="G48" s="822"/>
      <c r="H48" s="822"/>
      <c r="I48" s="822"/>
      <c r="J48" s="822"/>
      <c r="K48" s="822"/>
    </row>
    <row r="49" spans="1:11" s="8" customFormat="1" x14ac:dyDescent="0.2">
      <c r="A49" s="113"/>
      <c r="B49" s="899" t="s">
        <v>666</v>
      </c>
      <c r="C49" s="914" t="s">
        <v>1024</v>
      </c>
      <c r="D49" s="915"/>
      <c r="E49" s="915">
        <v>821</v>
      </c>
      <c r="F49" s="915">
        <f t="shared" si="2"/>
        <v>821</v>
      </c>
      <c r="G49" s="822"/>
      <c r="H49" s="822"/>
      <c r="I49" s="822"/>
      <c r="J49" s="822"/>
      <c r="K49" s="822"/>
    </row>
    <row r="50" spans="1:11" s="8" customFormat="1" x14ac:dyDescent="0.2">
      <c r="A50" s="113"/>
      <c r="B50" s="899" t="s">
        <v>125</v>
      </c>
      <c r="C50" s="914" t="s">
        <v>1163</v>
      </c>
      <c r="D50" s="915"/>
      <c r="E50" s="915">
        <v>50</v>
      </c>
      <c r="F50" s="915">
        <f t="shared" si="2"/>
        <v>50</v>
      </c>
      <c r="G50" s="822"/>
      <c r="H50" s="822"/>
      <c r="I50" s="822"/>
      <c r="J50" s="822"/>
      <c r="K50" s="822"/>
    </row>
    <row r="51" spans="1:11" s="8" customFormat="1" ht="24" x14ac:dyDescent="0.2">
      <c r="A51" s="113"/>
      <c r="B51" s="904" t="s">
        <v>692</v>
      </c>
      <c r="C51" s="914" t="s">
        <v>1164</v>
      </c>
      <c r="D51" s="915"/>
      <c r="E51" s="915">
        <v>150</v>
      </c>
      <c r="F51" s="915">
        <f t="shared" si="2"/>
        <v>150</v>
      </c>
      <c r="G51" s="822"/>
      <c r="H51" s="822"/>
      <c r="I51" s="822"/>
      <c r="J51" s="822"/>
      <c r="K51" s="822"/>
    </row>
    <row r="52" spans="1:11" s="8" customFormat="1" x14ac:dyDescent="0.2">
      <c r="A52" s="113"/>
      <c r="B52" s="899" t="s">
        <v>693</v>
      </c>
      <c r="C52" s="914" t="s">
        <v>1180</v>
      </c>
      <c r="D52" s="915"/>
      <c r="E52" s="915">
        <v>127</v>
      </c>
      <c r="F52" s="915">
        <f t="shared" si="2"/>
        <v>127</v>
      </c>
      <c r="G52" s="822"/>
      <c r="H52" s="822"/>
      <c r="I52" s="822"/>
      <c r="J52" s="822"/>
      <c r="K52" s="822"/>
    </row>
    <row r="53" spans="1:11" s="8" customFormat="1" x14ac:dyDescent="0.2">
      <c r="A53" s="113"/>
      <c r="B53" s="899" t="s">
        <v>128</v>
      </c>
      <c r="C53" s="914" t="s">
        <v>1226</v>
      </c>
      <c r="D53" s="915"/>
      <c r="E53" s="915">
        <v>1000</v>
      </c>
      <c r="F53" s="915">
        <f t="shared" si="2"/>
        <v>1000</v>
      </c>
      <c r="G53" s="822"/>
      <c r="H53" s="822"/>
      <c r="I53" s="822"/>
      <c r="J53" s="822"/>
      <c r="K53" s="822"/>
    </row>
    <row r="54" spans="1:11" s="8" customFormat="1" x14ac:dyDescent="0.2">
      <c r="A54" s="113"/>
      <c r="B54" s="899" t="s">
        <v>129</v>
      </c>
      <c r="C54" s="914" t="s">
        <v>1227</v>
      </c>
      <c r="D54" s="915"/>
      <c r="E54" s="915">
        <v>1000</v>
      </c>
      <c r="F54" s="915">
        <f t="shared" si="2"/>
        <v>1000</v>
      </c>
      <c r="G54" s="822"/>
      <c r="H54" s="822"/>
      <c r="I54" s="822"/>
      <c r="J54" s="822"/>
      <c r="K54" s="822"/>
    </row>
    <row r="55" spans="1:11" s="8" customFormat="1" ht="12.75" customHeight="1" x14ac:dyDescent="0.2">
      <c r="A55" s="113"/>
      <c r="B55" s="899" t="s">
        <v>130</v>
      </c>
      <c r="C55" s="914" t="s">
        <v>1228</v>
      </c>
      <c r="D55" s="915"/>
      <c r="E55" s="915">
        <v>1000</v>
      </c>
      <c r="F55" s="915">
        <f t="shared" si="2"/>
        <v>1000</v>
      </c>
      <c r="G55" s="822"/>
      <c r="H55" s="822"/>
      <c r="I55" s="822"/>
      <c r="J55" s="822"/>
      <c r="K55" s="822"/>
    </row>
    <row r="56" spans="1:11" s="8" customFormat="1" ht="12.75" customHeight="1" x14ac:dyDescent="0.2">
      <c r="A56" s="113"/>
      <c r="B56" s="899"/>
      <c r="C56" s="914"/>
      <c r="D56" s="915"/>
      <c r="E56" s="915"/>
      <c r="F56" s="915"/>
      <c r="G56" s="822"/>
      <c r="H56" s="822"/>
      <c r="I56" s="822"/>
      <c r="J56" s="822"/>
      <c r="K56" s="822"/>
    </row>
    <row r="57" spans="1:11" s="8" customFormat="1" ht="12.75" customHeight="1" x14ac:dyDescent="0.2">
      <c r="A57" s="113"/>
      <c r="B57" s="899"/>
      <c r="C57" s="914"/>
      <c r="D57" s="915"/>
      <c r="E57" s="915"/>
      <c r="F57" s="915"/>
      <c r="G57" s="822"/>
      <c r="H57" s="822"/>
      <c r="I57" s="822"/>
      <c r="J57" s="822"/>
      <c r="K57" s="822"/>
    </row>
    <row r="58" spans="1:11" s="8" customFormat="1" ht="12.75" customHeight="1" x14ac:dyDescent="0.2">
      <c r="A58" s="113"/>
      <c r="B58" s="899"/>
      <c r="C58" s="914"/>
      <c r="D58" s="915"/>
      <c r="E58" s="915"/>
      <c r="F58" s="915"/>
      <c r="G58" s="822"/>
      <c r="H58" s="822"/>
      <c r="I58" s="822"/>
      <c r="J58" s="822"/>
      <c r="K58" s="822"/>
    </row>
    <row r="59" spans="1:11" s="8" customFormat="1" ht="12.75" customHeight="1" x14ac:dyDescent="0.2">
      <c r="A59" s="113"/>
      <c r="B59" s="899"/>
      <c r="C59" s="914"/>
      <c r="D59" s="915"/>
      <c r="E59" s="915"/>
      <c r="F59" s="915"/>
      <c r="G59" s="822"/>
      <c r="H59" s="822"/>
      <c r="I59" s="822"/>
      <c r="J59" s="822"/>
      <c r="K59" s="822"/>
    </row>
    <row r="60" spans="1:11" s="8" customFormat="1" ht="12.75" customHeight="1" x14ac:dyDescent="0.2">
      <c r="A60" s="113"/>
      <c r="B60" s="899"/>
      <c r="C60" s="914"/>
      <c r="D60" s="915"/>
      <c r="E60" s="915"/>
      <c r="F60" s="915"/>
      <c r="G60" s="822"/>
      <c r="H60" s="822"/>
      <c r="I60" s="822"/>
      <c r="J60" s="822"/>
      <c r="K60" s="822"/>
    </row>
    <row r="61" spans="1:11" s="8" customFormat="1" ht="12.75" customHeight="1" x14ac:dyDescent="0.2">
      <c r="A61" s="113"/>
      <c r="B61" s="899"/>
      <c r="C61" s="914"/>
      <c r="D61" s="915"/>
      <c r="E61" s="915"/>
      <c r="F61" s="915"/>
      <c r="G61" s="822"/>
      <c r="H61" s="822"/>
      <c r="I61" s="822"/>
      <c r="J61" s="822"/>
      <c r="K61" s="822"/>
    </row>
    <row r="62" spans="1:11" s="8" customFormat="1" ht="12.75" thickBot="1" x14ac:dyDescent="0.25">
      <c r="A62" s="113"/>
      <c r="B62" s="922" t="s">
        <v>133</v>
      </c>
      <c r="C62" s="917" t="s">
        <v>1137</v>
      </c>
      <c r="D62" s="930">
        <v>800</v>
      </c>
      <c r="E62" s="930">
        <v>160</v>
      </c>
      <c r="F62" s="930">
        <f>SUM(D62:E62)</f>
        <v>960</v>
      </c>
      <c r="G62" s="832"/>
      <c r="H62" s="832"/>
      <c r="I62" s="832"/>
      <c r="J62" s="832"/>
      <c r="K62" s="832"/>
    </row>
    <row r="63" spans="1:11" s="8" customFormat="1" ht="12.75" thickBot="1" x14ac:dyDescent="0.25">
      <c r="A63" s="113"/>
      <c r="B63" s="929" t="s">
        <v>136</v>
      </c>
      <c r="C63" s="597" t="s">
        <v>482</v>
      </c>
      <c r="D63" s="598">
        <f>SUM(D26:D62)</f>
        <v>116685</v>
      </c>
      <c r="E63" s="598">
        <f>SUM(E30:E62)</f>
        <v>170408</v>
      </c>
      <c r="F63" s="598">
        <f>SUM(F26:F62)</f>
        <v>287093</v>
      </c>
      <c r="G63" s="849"/>
      <c r="H63" s="849"/>
      <c r="I63" s="849"/>
      <c r="J63" s="849"/>
      <c r="K63" s="850"/>
    </row>
    <row r="64" spans="1:11" x14ac:dyDescent="0.2">
      <c r="B64" s="925" t="s">
        <v>137</v>
      </c>
      <c r="C64" s="931"/>
      <c r="D64" s="927"/>
      <c r="E64" s="927"/>
      <c r="F64" s="927"/>
      <c r="G64" s="928"/>
      <c r="H64" s="928"/>
      <c r="I64" s="928"/>
      <c r="J64" s="928"/>
      <c r="K64" s="928"/>
    </row>
    <row r="65" spans="2:11" ht="14.25" customHeight="1" x14ac:dyDescent="0.2">
      <c r="B65" s="899" t="s">
        <v>138</v>
      </c>
      <c r="C65" s="911" t="s">
        <v>483</v>
      </c>
      <c r="D65" s="902">
        <f>D24</f>
        <v>5750</v>
      </c>
      <c r="E65" s="902">
        <f>E24</f>
        <v>45623</v>
      </c>
      <c r="F65" s="902">
        <f>F24</f>
        <v>51373</v>
      </c>
      <c r="G65" s="903"/>
      <c r="H65" s="903"/>
      <c r="I65" s="903"/>
      <c r="J65" s="903"/>
      <c r="K65" s="903"/>
    </row>
    <row r="66" spans="2:11" ht="14.25" customHeight="1" x14ac:dyDescent="0.2">
      <c r="B66" s="899" t="s">
        <v>139</v>
      </c>
      <c r="C66" s="911" t="s">
        <v>484</v>
      </c>
      <c r="D66" s="902">
        <f>D63</f>
        <v>116685</v>
      </c>
      <c r="E66" s="902">
        <f>E63</f>
        <v>170408</v>
      </c>
      <c r="F66" s="902">
        <f>F63</f>
        <v>287093</v>
      </c>
      <c r="G66" s="903"/>
      <c r="H66" s="903"/>
      <c r="I66" s="903"/>
      <c r="J66" s="903"/>
      <c r="K66" s="903"/>
    </row>
    <row r="67" spans="2:11" ht="12.75" thickBot="1" x14ac:dyDescent="0.25">
      <c r="B67" s="899" t="s">
        <v>142</v>
      </c>
      <c r="C67" s="917"/>
      <c r="D67" s="596"/>
      <c r="E67" s="596"/>
      <c r="F67" s="596"/>
      <c r="G67" s="918"/>
      <c r="H67" s="918"/>
      <c r="I67" s="918"/>
      <c r="J67" s="918"/>
      <c r="K67" s="918"/>
    </row>
    <row r="68" spans="2:11" ht="12.75" thickBot="1" x14ac:dyDescent="0.25">
      <c r="B68" s="916" t="s">
        <v>145</v>
      </c>
      <c r="C68" s="919" t="s">
        <v>669</v>
      </c>
      <c r="D68" s="598">
        <f>D65+D66</f>
        <v>122435</v>
      </c>
      <c r="E68" s="598">
        <f>E65+E66</f>
        <v>216031</v>
      </c>
      <c r="F68" s="598">
        <f>F65+F66</f>
        <v>338466</v>
      </c>
      <c r="G68" s="920"/>
      <c r="H68" s="920"/>
      <c r="I68" s="920"/>
      <c r="J68" s="920"/>
      <c r="K68" s="921"/>
    </row>
    <row r="69" spans="2:11" x14ac:dyDescent="0.2">
      <c r="B69" s="114"/>
    </row>
    <row r="70" spans="2:11" x14ac:dyDescent="0.2">
      <c r="B70" s="114"/>
    </row>
    <row r="71" spans="2:11" x14ac:dyDescent="0.2">
      <c r="B71" s="114"/>
    </row>
    <row r="72" spans="2:11" x14ac:dyDescent="0.2">
      <c r="B72" s="114"/>
    </row>
    <row r="73" spans="2:11" x14ac:dyDescent="0.2">
      <c r="B73" s="114"/>
    </row>
  </sheetData>
  <sheetProtection selectLockedCells="1" selectUnlockedCells="1"/>
  <mergeCells count="9">
    <mergeCell ref="G8:H8"/>
    <mergeCell ref="I8:K8"/>
    <mergeCell ref="B1:F1"/>
    <mergeCell ref="C7:F7"/>
    <mergeCell ref="B8:B9"/>
    <mergeCell ref="C8:C9"/>
    <mergeCell ref="D8:F8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8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148"/>
  <sheetViews>
    <sheetView workbookViewId="0">
      <pane xSplit="2" ySplit="9" topLeftCell="C127" activePane="bottomRight" state="frozen"/>
      <selection activeCell="B65" sqref="B65"/>
      <selection pane="topRight" activeCell="B65" sqref="B65"/>
      <selection pane="bottomLeft" activeCell="B65" sqref="B65"/>
      <selection pane="bottomRight" activeCell="B129" sqref="B129"/>
    </sheetView>
  </sheetViews>
  <sheetFormatPr defaultColWidth="9.140625" defaultRowHeight="14.1" customHeight="1" x14ac:dyDescent="0.2"/>
  <cols>
    <col min="1" max="1" width="3.7109375" style="232" customWidth="1"/>
    <col min="2" max="2" width="41.42578125" style="239" customWidth="1"/>
    <col min="3" max="3" width="9.85546875" style="82" customWidth="1"/>
    <col min="4" max="6" width="8.7109375" style="82" customWidth="1"/>
    <col min="7" max="9" width="7.85546875" style="82" customWidth="1"/>
    <col min="10" max="12" width="8.42578125" style="85" customWidth="1"/>
    <col min="13" max="15" width="9.85546875" style="90" customWidth="1"/>
    <col min="16" max="16" width="7.28515625" style="90" customWidth="1"/>
    <col min="17" max="16384" width="9.140625" style="81"/>
  </cols>
  <sheetData>
    <row r="1" spans="1:19" ht="12.75" customHeight="1" x14ac:dyDescent="0.2">
      <c r="A1" s="1484" t="s">
        <v>1265</v>
      </c>
      <c r="B1" s="1484"/>
      <c r="C1" s="1484"/>
      <c r="D1" s="1484"/>
      <c r="E1" s="1484"/>
      <c r="F1" s="1484"/>
      <c r="G1" s="1484"/>
      <c r="H1" s="1484"/>
      <c r="I1" s="1484"/>
      <c r="J1" s="1484"/>
      <c r="K1" s="1484"/>
      <c r="L1" s="1484"/>
      <c r="M1" s="1453"/>
      <c r="N1" s="1453"/>
      <c r="O1" s="1453"/>
      <c r="P1" s="1453"/>
    </row>
    <row r="2" spans="1:19" ht="14.1" customHeight="1" x14ac:dyDescent="0.2">
      <c r="A2" s="1485" t="s">
        <v>78</v>
      </c>
      <c r="B2" s="1485"/>
      <c r="C2" s="1485"/>
      <c r="D2" s="1485"/>
      <c r="E2" s="1485"/>
      <c r="F2" s="1485"/>
      <c r="G2" s="1485"/>
      <c r="H2" s="1485"/>
      <c r="I2" s="1485"/>
      <c r="J2" s="1485"/>
      <c r="K2" s="1485"/>
      <c r="L2" s="1485"/>
      <c r="M2" s="1453"/>
      <c r="N2" s="1453"/>
      <c r="O2" s="1453"/>
      <c r="P2" s="1453"/>
    </row>
    <row r="3" spans="1:19" ht="14.1" customHeight="1" x14ac:dyDescent="0.2">
      <c r="A3" s="240"/>
      <c r="B3" s="1492" t="s">
        <v>1155</v>
      </c>
      <c r="C3" s="1492"/>
      <c r="D3" s="1492"/>
      <c r="E3" s="1492"/>
      <c r="F3" s="1492"/>
      <c r="G3" s="1492"/>
      <c r="H3" s="1492"/>
      <c r="I3" s="1492"/>
      <c r="J3" s="1492"/>
      <c r="K3" s="1492"/>
      <c r="L3" s="1492"/>
      <c r="M3" s="1492"/>
      <c r="N3" s="1492"/>
      <c r="O3" s="1492"/>
      <c r="P3" s="1492"/>
    </row>
    <row r="4" spans="1:19" ht="14.25" customHeight="1" thickBot="1" x14ac:dyDescent="0.25">
      <c r="A4" s="1486" t="s">
        <v>320</v>
      </c>
      <c r="B4" s="1486"/>
      <c r="C4" s="1486"/>
      <c r="D4" s="1486"/>
      <c r="E4" s="1486"/>
      <c r="F4" s="1486"/>
      <c r="G4" s="1486"/>
      <c r="H4" s="1486"/>
      <c r="I4" s="1486"/>
      <c r="J4" s="1486"/>
      <c r="K4" s="1486"/>
      <c r="L4" s="1486"/>
      <c r="M4" s="1487"/>
      <c r="N4" s="1487"/>
      <c r="O4" s="1487"/>
      <c r="P4" s="1487"/>
    </row>
    <row r="5" spans="1:19" ht="24" customHeight="1" thickBot="1" x14ac:dyDescent="0.25">
      <c r="A5" s="1488" t="s">
        <v>497</v>
      </c>
      <c r="B5" s="237" t="s">
        <v>57</v>
      </c>
      <c r="C5" s="83" t="s">
        <v>58</v>
      </c>
      <c r="D5" s="83" t="s">
        <v>59</v>
      </c>
      <c r="E5" s="83"/>
      <c r="F5" s="83"/>
      <c r="G5" s="83" t="s">
        <v>60</v>
      </c>
      <c r="H5" s="84"/>
      <c r="I5" s="84"/>
      <c r="J5" s="84" t="s">
        <v>498</v>
      </c>
      <c r="K5" s="84"/>
      <c r="L5" s="84"/>
      <c r="M5" s="84" t="s">
        <v>499</v>
      </c>
      <c r="N5" s="84"/>
      <c r="O5" s="84"/>
      <c r="P5" s="382" t="s">
        <v>500</v>
      </c>
      <c r="Q5" s="1124"/>
      <c r="R5" s="1125"/>
    </row>
    <row r="6" spans="1:19" ht="1.9" hidden="1" customHeight="1" thickBot="1" x14ac:dyDescent="0.25">
      <c r="A6" s="1488"/>
      <c r="B6" s="238"/>
      <c r="C6" s="106"/>
      <c r="D6" s="106"/>
      <c r="E6" s="106"/>
      <c r="F6" s="106"/>
      <c r="G6" s="106"/>
      <c r="H6" s="107"/>
      <c r="I6" s="107"/>
      <c r="J6" s="107"/>
      <c r="K6" s="932"/>
      <c r="L6" s="932"/>
    </row>
    <row r="7" spans="1:19" s="185" customFormat="1" ht="23.25" customHeight="1" thickBot="1" x14ac:dyDescent="0.25">
      <c r="A7" s="1488"/>
      <c r="B7" s="238"/>
      <c r="C7" s="106"/>
      <c r="D7" s="1505" t="s">
        <v>336</v>
      </c>
      <c r="E7" s="1506"/>
      <c r="F7" s="1506"/>
      <c r="G7" s="1506"/>
      <c r="H7" s="1506"/>
      <c r="I7" s="1506"/>
      <c r="J7" s="1506"/>
      <c r="K7" s="1506"/>
      <c r="L7" s="1507"/>
      <c r="M7" s="1503" t="s">
        <v>1117</v>
      </c>
      <c r="N7" s="1504"/>
      <c r="O7" s="1504"/>
      <c r="P7" s="1504"/>
      <c r="Q7" s="1504"/>
      <c r="R7" s="1504"/>
    </row>
    <row r="8" spans="1:19" s="80" customFormat="1" ht="30.75" customHeight="1" thickBot="1" x14ac:dyDescent="0.25">
      <c r="A8" s="1488"/>
      <c r="B8" s="1490" t="s">
        <v>86</v>
      </c>
      <c r="C8" s="1490" t="s">
        <v>501</v>
      </c>
      <c r="D8" s="1493" t="s">
        <v>502</v>
      </c>
      <c r="E8" s="1494"/>
      <c r="F8" s="1495"/>
      <c r="G8" s="1496" t="s">
        <v>503</v>
      </c>
      <c r="H8" s="1494"/>
      <c r="I8" s="1495"/>
      <c r="J8" s="1497" t="s">
        <v>504</v>
      </c>
      <c r="K8" s="1498"/>
      <c r="L8" s="1499"/>
      <c r="M8" s="1500" t="s">
        <v>62</v>
      </c>
      <c r="N8" s="1501"/>
      <c r="O8" s="1502"/>
      <c r="P8" s="1500" t="s">
        <v>63</v>
      </c>
      <c r="Q8" s="1501"/>
      <c r="R8" s="1501"/>
      <c r="S8" s="1123"/>
    </row>
    <row r="9" spans="1:19" s="80" customFormat="1" ht="41.25" customHeight="1" x14ac:dyDescent="0.2">
      <c r="A9" s="1489"/>
      <c r="B9" s="1491"/>
      <c r="C9" s="1491"/>
      <c r="D9" s="934" t="s">
        <v>1276</v>
      </c>
      <c r="E9" s="934" t="s">
        <v>1277</v>
      </c>
      <c r="F9" s="1060" t="s">
        <v>1278</v>
      </c>
      <c r="G9" s="935" t="s">
        <v>1276</v>
      </c>
      <c r="H9" s="934" t="s">
        <v>1277</v>
      </c>
      <c r="I9" s="1060" t="s">
        <v>1278</v>
      </c>
      <c r="J9" s="935" t="s">
        <v>1276</v>
      </c>
      <c r="K9" s="934" t="s">
        <v>1277</v>
      </c>
      <c r="L9" s="1099" t="s">
        <v>1278</v>
      </c>
      <c r="M9" s="935" t="s">
        <v>1276</v>
      </c>
      <c r="N9" s="934" t="s">
        <v>1277</v>
      </c>
      <c r="O9" s="1099" t="s">
        <v>1278</v>
      </c>
      <c r="P9" s="935" t="s">
        <v>1276</v>
      </c>
      <c r="Q9" s="934" t="s">
        <v>1277</v>
      </c>
      <c r="R9" s="934" t="s">
        <v>1278</v>
      </c>
    </row>
    <row r="10" spans="1:19" ht="14.1" customHeight="1" x14ac:dyDescent="0.2">
      <c r="A10" s="936"/>
      <c r="B10" s="937" t="s">
        <v>78</v>
      </c>
      <c r="C10" s="938"/>
      <c r="D10" s="938"/>
      <c r="E10" s="938"/>
      <c r="F10" s="1061"/>
      <c r="G10" s="1055"/>
      <c r="H10" s="938"/>
      <c r="I10" s="1061"/>
      <c r="J10" s="1067"/>
      <c r="K10" s="939"/>
      <c r="L10" s="1080"/>
      <c r="M10" s="1097"/>
      <c r="N10" s="940"/>
      <c r="O10" s="1114"/>
      <c r="P10" s="1097"/>
      <c r="Q10" s="941"/>
      <c r="R10" s="941"/>
    </row>
    <row r="11" spans="1:19" ht="14.1" customHeight="1" x14ac:dyDescent="0.2">
      <c r="A11" s="936"/>
      <c r="B11" s="937"/>
      <c r="C11" s="938"/>
      <c r="D11" s="938"/>
      <c r="E11" s="938"/>
      <c r="F11" s="1061"/>
      <c r="G11" s="1055"/>
      <c r="H11" s="938"/>
      <c r="I11" s="1061"/>
      <c r="J11" s="1067"/>
      <c r="K11" s="939"/>
      <c r="L11" s="1080"/>
      <c r="M11" s="1097"/>
      <c r="N11" s="940"/>
      <c r="O11" s="1114"/>
      <c r="P11" s="1097"/>
      <c r="Q11" s="941"/>
      <c r="R11" s="941"/>
    </row>
    <row r="12" spans="1:19" ht="14.1" customHeight="1" x14ac:dyDescent="0.2">
      <c r="A12" s="942" t="s">
        <v>505</v>
      </c>
      <c r="B12" s="937" t="s">
        <v>506</v>
      </c>
      <c r="C12" s="938"/>
      <c r="D12" s="938"/>
      <c r="E12" s="938"/>
      <c r="F12" s="1061"/>
      <c r="G12" s="1055"/>
      <c r="H12" s="938"/>
      <c r="I12" s="1061"/>
      <c r="J12" s="1067"/>
      <c r="K12" s="939"/>
      <c r="L12" s="1080"/>
      <c r="M12" s="1097"/>
      <c r="N12" s="940"/>
      <c r="O12" s="1114"/>
      <c r="P12" s="1097"/>
      <c r="Q12" s="941"/>
      <c r="R12" s="941"/>
    </row>
    <row r="13" spans="1:19" ht="14.1" customHeight="1" x14ac:dyDescent="0.2">
      <c r="A13" s="942"/>
      <c r="B13" s="937"/>
      <c r="C13" s="938"/>
      <c r="D13" s="938"/>
      <c r="E13" s="938"/>
      <c r="F13" s="1061"/>
      <c r="G13" s="1055"/>
      <c r="H13" s="938"/>
      <c r="I13" s="1061"/>
      <c r="J13" s="1067"/>
      <c r="K13" s="939"/>
      <c r="L13" s="1080"/>
      <c r="M13" s="1097"/>
      <c r="N13" s="940"/>
      <c r="O13" s="1114"/>
      <c r="P13" s="1097"/>
      <c r="Q13" s="941"/>
      <c r="R13" s="941"/>
    </row>
    <row r="14" spans="1:19" s="86" customFormat="1" ht="13.15" customHeight="1" thickBot="1" x14ac:dyDescent="0.25">
      <c r="A14" s="981"/>
      <c r="B14" s="982"/>
      <c r="C14" s="983"/>
      <c r="D14" s="984"/>
      <c r="E14" s="984"/>
      <c r="F14" s="1062"/>
      <c r="G14" s="1056"/>
      <c r="H14" s="984"/>
      <c r="I14" s="1062"/>
      <c r="J14" s="1091"/>
      <c r="K14" s="985"/>
      <c r="L14" s="1100"/>
      <c r="M14" s="1073"/>
      <c r="N14" s="986"/>
      <c r="O14" s="1086"/>
      <c r="P14" s="1073"/>
      <c r="Q14" s="987"/>
      <c r="R14" s="987"/>
    </row>
    <row r="15" spans="1:19" s="86" customFormat="1" ht="15" customHeight="1" thickBot="1" x14ac:dyDescent="0.25">
      <c r="A15" s="994"/>
      <c r="B15" s="995" t="s">
        <v>509</v>
      </c>
      <c r="C15" s="996"/>
      <c r="D15" s="997">
        <f>SUM(D14:D14)</f>
        <v>0</v>
      </c>
      <c r="E15" s="997"/>
      <c r="F15" s="1063"/>
      <c r="G15" s="1057">
        <f>SUM(G14:G14)</f>
        <v>0</v>
      </c>
      <c r="H15" s="997"/>
      <c r="I15" s="1063"/>
      <c r="J15" s="1057">
        <f>SUM(J14:J14)</f>
        <v>0</v>
      </c>
      <c r="K15" s="997"/>
      <c r="L15" s="1063"/>
      <c r="M15" s="1057">
        <f>SUM(M14:M14)</f>
        <v>0</v>
      </c>
      <c r="N15" s="997"/>
      <c r="O15" s="1063"/>
      <c r="P15" s="1057">
        <f>SUM(P14:P14)</f>
        <v>0</v>
      </c>
      <c r="Q15" s="998"/>
      <c r="R15" s="999"/>
    </row>
    <row r="16" spans="1:19" ht="14.1" customHeight="1" x14ac:dyDescent="0.2">
      <c r="A16" s="988"/>
      <c r="B16" s="989"/>
      <c r="C16" s="990"/>
      <c r="D16" s="990"/>
      <c r="E16" s="990"/>
      <c r="F16" s="1064"/>
      <c r="G16" s="1058"/>
      <c r="H16" s="990"/>
      <c r="I16" s="1064"/>
      <c r="J16" s="1072"/>
      <c r="K16" s="991"/>
      <c r="L16" s="1085"/>
      <c r="M16" s="1098"/>
      <c r="N16" s="992"/>
      <c r="O16" s="1115"/>
      <c r="P16" s="1098"/>
      <c r="Q16" s="993"/>
      <c r="R16" s="993"/>
    </row>
    <row r="17" spans="1:21" ht="12" customHeight="1" x14ac:dyDescent="0.2">
      <c r="A17" s="950" t="s">
        <v>510</v>
      </c>
      <c r="B17" s="937" t="s">
        <v>511</v>
      </c>
      <c r="C17" s="938"/>
      <c r="D17" s="938"/>
      <c r="E17" s="938"/>
      <c r="F17" s="1061"/>
      <c r="G17" s="1055"/>
      <c r="H17" s="938"/>
      <c r="I17" s="1061"/>
      <c r="J17" s="1067"/>
      <c r="K17" s="939"/>
      <c r="L17" s="1080"/>
      <c r="M17" s="1097"/>
      <c r="N17" s="940"/>
      <c r="O17" s="1114"/>
      <c r="P17" s="1097"/>
      <c r="Q17" s="941"/>
      <c r="R17" s="941"/>
    </row>
    <row r="18" spans="1:21" ht="26.25" customHeight="1" x14ac:dyDescent="0.2">
      <c r="A18" s="936" t="s">
        <v>507</v>
      </c>
      <c r="B18" s="943" t="s">
        <v>1258</v>
      </c>
      <c r="C18" s="944" t="s">
        <v>508</v>
      </c>
      <c r="D18" s="951">
        <v>7874</v>
      </c>
      <c r="E18" s="951"/>
      <c r="F18" s="1065"/>
      <c r="G18" s="1059">
        <v>2126</v>
      </c>
      <c r="H18" s="951"/>
      <c r="I18" s="1065"/>
      <c r="J18" s="1092">
        <f>D18+G18</f>
        <v>10000</v>
      </c>
      <c r="K18" s="952"/>
      <c r="L18" s="1101"/>
      <c r="M18" s="1059">
        <f>J18</f>
        <v>10000</v>
      </c>
      <c r="N18" s="951"/>
      <c r="O18" s="1065"/>
      <c r="P18" s="1059"/>
      <c r="Q18" s="953"/>
      <c r="R18" s="941"/>
    </row>
    <row r="19" spans="1:21" ht="18.75" customHeight="1" x14ac:dyDescent="0.2">
      <c r="A19" s="936"/>
      <c r="B19" s="943"/>
      <c r="C19" s="944"/>
      <c r="D19" s="951"/>
      <c r="E19" s="951"/>
      <c r="F19" s="1065"/>
      <c r="G19" s="1059"/>
      <c r="H19" s="951"/>
      <c r="I19" s="1065"/>
      <c r="J19" s="1092"/>
      <c r="K19" s="952"/>
      <c r="L19" s="1101"/>
      <c r="M19" s="1059"/>
      <c r="N19" s="951"/>
      <c r="O19" s="1065"/>
      <c r="P19" s="1059"/>
      <c r="Q19" s="953"/>
      <c r="R19" s="941"/>
    </row>
    <row r="20" spans="1:21" ht="13.5" customHeight="1" thickBot="1" x14ac:dyDescent="0.25">
      <c r="A20" s="1000"/>
      <c r="B20" s="1001"/>
      <c r="C20" s="986"/>
      <c r="D20" s="984"/>
      <c r="E20" s="984"/>
      <c r="F20" s="1062"/>
      <c r="G20" s="1056"/>
      <c r="H20" s="984"/>
      <c r="I20" s="1062"/>
      <c r="J20" s="1091"/>
      <c r="K20" s="985"/>
      <c r="L20" s="1100"/>
      <c r="M20" s="1056"/>
      <c r="N20" s="984"/>
      <c r="O20" s="1062"/>
      <c r="P20" s="1056"/>
      <c r="Q20" s="1002"/>
      <c r="R20" s="1003"/>
    </row>
    <row r="21" spans="1:21" ht="12" customHeight="1" thickBot="1" x14ac:dyDescent="0.25">
      <c r="A21" s="1005"/>
      <c r="B21" s="1006" t="s">
        <v>512</v>
      </c>
      <c r="C21" s="996"/>
      <c r="D21" s="997">
        <f>SUM(D18:D20)</f>
        <v>7874</v>
      </c>
      <c r="E21" s="997"/>
      <c r="F21" s="1063"/>
      <c r="G21" s="1057">
        <f>SUM(G18:G20)</f>
        <v>2126</v>
      </c>
      <c r="H21" s="997"/>
      <c r="I21" s="1063"/>
      <c r="J21" s="1057">
        <f>SUM(J18:J20)</f>
        <v>10000</v>
      </c>
      <c r="K21" s="997"/>
      <c r="L21" s="1063"/>
      <c r="M21" s="1057">
        <f>SUM(M18:M20)</f>
        <v>10000</v>
      </c>
      <c r="N21" s="997"/>
      <c r="O21" s="1063"/>
      <c r="P21" s="1057">
        <f>SUM(P18:P20)</f>
        <v>0</v>
      </c>
      <c r="Q21" s="1007"/>
      <c r="R21" s="1008"/>
      <c r="U21" s="933"/>
    </row>
    <row r="22" spans="1:21" ht="12" customHeight="1" x14ac:dyDescent="0.2">
      <c r="A22" s="988"/>
      <c r="B22" s="1004"/>
      <c r="C22" s="990"/>
      <c r="D22" s="990"/>
      <c r="E22" s="990"/>
      <c r="F22" s="1078"/>
      <c r="G22" s="1058"/>
      <c r="H22" s="990"/>
      <c r="I22" s="1064"/>
      <c r="J22" s="1072"/>
      <c r="K22" s="991"/>
      <c r="L22" s="1085"/>
      <c r="M22" s="1098"/>
      <c r="N22" s="992"/>
      <c r="O22" s="1115"/>
      <c r="P22" s="1098"/>
      <c r="Q22" s="993"/>
      <c r="R22" s="993"/>
    </row>
    <row r="23" spans="1:21" ht="15.75" customHeight="1" x14ac:dyDescent="0.2">
      <c r="A23" s="955" t="s">
        <v>513</v>
      </c>
      <c r="B23" s="956" t="s">
        <v>514</v>
      </c>
      <c r="C23" s="957"/>
      <c r="D23" s="938"/>
      <c r="E23" s="938"/>
      <c r="F23" s="1061"/>
      <c r="G23" s="1055"/>
      <c r="H23" s="938"/>
      <c r="I23" s="1061"/>
      <c r="J23" s="1067"/>
      <c r="K23" s="939"/>
      <c r="L23" s="1080"/>
      <c r="M23" s="1097"/>
      <c r="N23" s="940"/>
      <c r="O23" s="1114"/>
      <c r="P23" s="1097"/>
      <c r="Q23" s="941"/>
      <c r="R23" s="941"/>
    </row>
    <row r="24" spans="1:21" s="86" customFormat="1" ht="19.5" customHeight="1" x14ac:dyDescent="0.2">
      <c r="A24" s="958" t="s">
        <v>507</v>
      </c>
      <c r="B24" s="959" t="s">
        <v>1138</v>
      </c>
      <c r="C24" s="951" t="s">
        <v>996</v>
      </c>
      <c r="D24" s="951">
        <v>3495</v>
      </c>
      <c r="E24" s="951"/>
      <c r="F24" s="1065"/>
      <c r="G24" s="1059">
        <v>945</v>
      </c>
      <c r="H24" s="951"/>
      <c r="I24" s="1065"/>
      <c r="J24" s="1092">
        <f>D24+G24</f>
        <v>4440</v>
      </c>
      <c r="K24" s="952"/>
      <c r="L24" s="1101"/>
      <c r="M24" s="1059">
        <f t="shared" ref="M24:M29" si="0">J24</f>
        <v>4440</v>
      </c>
      <c r="N24" s="951"/>
      <c r="O24" s="1065"/>
      <c r="P24" s="1103"/>
      <c r="Q24" s="947"/>
      <c r="R24" s="947"/>
    </row>
    <row r="25" spans="1:21" s="86" customFormat="1" ht="19.5" customHeight="1" x14ac:dyDescent="0.2">
      <c r="A25" s="958" t="s">
        <v>1172</v>
      </c>
      <c r="B25" s="959" t="s">
        <v>1033</v>
      </c>
      <c r="C25" s="944" t="s">
        <v>508</v>
      </c>
      <c r="D25" s="951">
        <f>108835+10945</f>
        <v>119780</v>
      </c>
      <c r="E25" s="951"/>
      <c r="F25" s="1065"/>
      <c r="G25" s="1059">
        <f>29386+2954</f>
        <v>32340</v>
      </c>
      <c r="H25" s="951"/>
      <c r="I25" s="1065"/>
      <c r="J25" s="1092">
        <f>D25+G25</f>
        <v>152120</v>
      </c>
      <c r="K25" s="952"/>
      <c r="L25" s="1101"/>
      <c r="M25" s="1059">
        <f t="shared" si="0"/>
        <v>152120</v>
      </c>
      <c r="N25" s="951"/>
      <c r="O25" s="1065"/>
      <c r="P25" s="1103"/>
      <c r="Q25" s="947"/>
      <c r="R25" s="947"/>
    </row>
    <row r="26" spans="1:21" s="86" customFormat="1" ht="24.75" customHeight="1" x14ac:dyDescent="0.2">
      <c r="A26" s="958" t="s">
        <v>1171</v>
      </c>
      <c r="B26" s="959" t="s">
        <v>1173</v>
      </c>
      <c r="C26" s="951" t="s">
        <v>996</v>
      </c>
      <c r="D26" s="951">
        <v>29528</v>
      </c>
      <c r="E26" s="951"/>
      <c r="F26" s="1065"/>
      <c r="G26" s="1059">
        <v>7972</v>
      </c>
      <c r="H26" s="951"/>
      <c r="I26" s="1065"/>
      <c r="J26" s="1092">
        <f>SUM(D26:G26)</f>
        <v>37500</v>
      </c>
      <c r="K26" s="952"/>
      <c r="L26" s="1101"/>
      <c r="M26" s="1059">
        <f t="shared" si="0"/>
        <v>37500</v>
      </c>
      <c r="N26" s="951"/>
      <c r="O26" s="1065"/>
      <c r="P26" s="1103"/>
      <c r="Q26" s="947"/>
      <c r="R26" s="947"/>
    </row>
    <row r="27" spans="1:21" s="86" customFormat="1" ht="23.25" customHeight="1" x14ac:dyDescent="0.2">
      <c r="A27" s="958" t="s">
        <v>516</v>
      </c>
      <c r="B27" s="959" t="s">
        <v>1174</v>
      </c>
      <c r="C27" s="944" t="s">
        <v>508</v>
      </c>
      <c r="D27" s="951">
        <v>21870</v>
      </c>
      <c r="E27" s="951"/>
      <c r="F27" s="1065"/>
      <c r="G27" s="1059">
        <v>5905</v>
      </c>
      <c r="H27" s="951"/>
      <c r="I27" s="1065"/>
      <c r="J27" s="1092">
        <f t="shared" ref="J27:J40" si="1">D27+G27</f>
        <v>27775</v>
      </c>
      <c r="K27" s="952"/>
      <c r="L27" s="1101"/>
      <c r="M27" s="1059">
        <f t="shared" si="0"/>
        <v>27775</v>
      </c>
      <c r="N27" s="951"/>
      <c r="O27" s="1065"/>
      <c r="P27" s="1059"/>
      <c r="Q27" s="947"/>
      <c r="R27" s="947"/>
    </row>
    <row r="28" spans="1:21" s="86" customFormat="1" ht="24.75" customHeight="1" x14ac:dyDescent="0.2">
      <c r="A28" s="958" t="s">
        <v>517</v>
      </c>
      <c r="B28" s="959" t="s">
        <v>1011</v>
      </c>
      <c r="C28" s="944" t="s">
        <v>508</v>
      </c>
      <c r="D28" s="951">
        <f>23622-15748</f>
        <v>7874</v>
      </c>
      <c r="E28" s="951"/>
      <c r="F28" s="1065"/>
      <c r="G28" s="1059">
        <f>6378-4252</f>
        <v>2126</v>
      </c>
      <c r="H28" s="951"/>
      <c r="I28" s="1065"/>
      <c r="J28" s="1092">
        <f t="shared" si="1"/>
        <v>10000</v>
      </c>
      <c r="K28" s="952"/>
      <c r="L28" s="1101"/>
      <c r="M28" s="1059">
        <f t="shared" si="0"/>
        <v>10000</v>
      </c>
      <c r="N28" s="951"/>
      <c r="O28" s="1065"/>
      <c r="P28" s="1103"/>
      <c r="Q28" s="947"/>
      <c r="R28" s="947"/>
    </row>
    <row r="29" spans="1:21" s="86" customFormat="1" ht="26.25" customHeight="1" x14ac:dyDescent="0.2">
      <c r="A29" s="958" t="s">
        <v>518</v>
      </c>
      <c r="B29" s="943" t="s">
        <v>1239</v>
      </c>
      <c r="C29" s="944" t="s">
        <v>508</v>
      </c>
      <c r="D29" s="951">
        <v>723404</v>
      </c>
      <c r="E29" s="951"/>
      <c r="F29" s="1065"/>
      <c r="G29" s="1059">
        <v>195319</v>
      </c>
      <c r="H29" s="951"/>
      <c r="I29" s="1065"/>
      <c r="J29" s="1092">
        <f t="shared" si="1"/>
        <v>918723</v>
      </c>
      <c r="K29" s="952"/>
      <c r="L29" s="1101"/>
      <c r="M29" s="1059">
        <f t="shared" si="0"/>
        <v>918723</v>
      </c>
      <c r="N29" s="951"/>
      <c r="O29" s="1065"/>
      <c r="P29" s="1103"/>
      <c r="Q29" s="947"/>
      <c r="R29" s="947"/>
    </row>
    <row r="30" spans="1:21" s="86" customFormat="1" ht="21.75" customHeight="1" x14ac:dyDescent="0.2">
      <c r="A30" s="958" t="s">
        <v>519</v>
      </c>
      <c r="B30" s="960" t="s">
        <v>194</v>
      </c>
      <c r="C30" s="944" t="s">
        <v>508</v>
      </c>
      <c r="D30" s="951">
        <v>5468</v>
      </c>
      <c r="E30" s="951"/>
      <c r="F30" s="1065"/>
      <c r="G30" s="1059">
        <v>1486</v>
      </c>
      <c r="H30" s="951"/>
      <c r="I30" s="1065"/>
      <c r="J30" s="1092">
        <f t="shared" si="1"/>
        <v>6954</v>
      </c>
      <c r="K30" s="952"/>
      <c r="L30" s="1101"/>
      <c r="M30" s="1059"/>
      <c r="N30" s="951"/>
      <c r="O30" s="1065"/>
      <c r="P30" s="1059">
        <f>J30</f>
        <v>6954</v>
      </c>
      <c r="Q30" s="947"/>
      <c r="R30" s="947"/>
    </row>
    <row r="31" spans="1:21" s="86" customFormat="1" ht="36.75" customHeight="1" x14ac:dyDescent="0.2">
      <c r="A31" s="958" t="s">
        <v>1159</v>
      </c>
      <c r="B31" s="961" t="s">
        <v>1142</v>
      </c>
      <c r="C31" s="951" t="s">
        <v>508</v>
      </c>
      <c r="D31" s="951">
        <v>141228</v>
      </c>
      <c r="E31" s="951"/>
      <c r="F31" s="1065"/>
      <c r="G31" s="1059">
        <v>38132</v>
      </c>
      <c r="H31" s="951"/>
      <c r="I31" s="1065"/>
      <c r="J31" s="1092">
        <f t="shared" si="1"/>
        <v>179360</v>
      </c>
      <c r="K31" s="952"/>
      <c r="L31" s="1101"/>
      <c r="M31" s="1059">
        <f>J31</f>
        <v>179360</v>
      </c>
      <c r="N31" s="951"/>
      <c r="O31" s="1065"/>
      <c r="P31" s="1059"/>
      <c r="Q31" s="962"/>
      <c r="R31" s="962"/>
      <c r="S31" s="616"/>
      <c r="T31" s="616"/>
    </row>
    <row r="32" spans="1:21" s="86" customFormat="1" ht="27" customHeight="1" x14ac:dyDescent="0.2">
      <c r="A32" s="958" t="s">
        <v>1160</v>
      </c>
      <c r="B32" s="960" t="s">
        <v>1240</v>
      </c>
      <c r="C32" s="944"/>
      <c r="D32" s="951">
        <v>118110</v>
      </c>
      <c r="E32" s="951"/>
      <c r="F32" s="1065"/>
      <c r="G32" s="1059">
        <v>31890</v>
      </c>
      <c r="H32" s="951"/>
      <c r="I32" s="1065"/>
      <c r="J32" s="1092">
        <f t="shared" si="1"/>
        <v>150000</v>
      </c>
      <c r="K32" s="952"/>
      <c r="L32" s="1101"/>
      <c r="M32" s="1059">
        <f>J32</f>
        <v>150000</v>
      </c>
      <c r="N32" s="951"/>
      <c r="O32" s="1065"/>
      <c r="P32" s="1059"/>
      <c r="Q32" s="947"/>
      <c r="R32" s="947"/>
    </row>
    <row r="33" spans="1:18" s="86" customFormat="1" ht="21.75" customHeight="1" x14ac:dyDescent="0.2">
      <c r="A33" s="958" t="s">
        <v>1161</v>
      </c>
      <c r="B33" s="960" t="s">
        <v>998</v>
      </c>
      <c r="C33" s="944" t="s">
        <v>508</v>
      </c>
      <c r="D33" s="951">
        <v>80132</v>
      </c>
      <c r="E33" s="951"/>
      <c r="F33" s="1065"/>
      <c r="G33" s="1059">
        <v>21635</v>
      </c>
      <c r="H33" s="951"/>
      <c r="I33" s="1065"/>
      <c r="J33" s="1092">
        <f t="shared" ref="J33" si="2">D33+G33</f>
        <v>101767</v>
      </c>
      <c r="K33" s="952"/>
      <c r="L33" s="1101"/>
      <c r="M33" s="1059">
        <f t="shared" ref="M33" si="3">J33</f>
        <v>101767</v>
      </c>
      <c r="N33" s="951"/>
      <c r="O33" s="1065"/>
      <c r="P33" s="1059"/>
      <c r="Q33" s="947"/>
      <c r="R33" s="947"/>
    </row>
    <row r="34" spans="1:18" s="86" customFormat="1" ht="21.75" customHeight="1" x14ac:dyDescent="0.2">
      <c r="A34" s="958" t="s">
        <v>521</v>
      </c>
      <c r="B34" s="960" t="s">
        <v>997</v>
      </c>
      <c r="C34" s="944" t="s">
        <v>508</v>
      </c>
      <c r="D34" s="951">
        <v>11616</v>
      </c>
      <c r="E34" s="951"/>
      <c r="F34" s="1065"/>
      <c r="G34" s="1059">
        <v>3137</v>
      </c>
      <c r="H34" s="951"/>
      <c r="I34" s="1065"/>
      <c r="J34" s="1092">
        <f t="shared" si="1"/>
        <v>14753</v>
      </c>
      <c r="K34" s="952"/>
      <c r="L34" s="1101"/>
      <c r="M34" s="1059">
        <f t="shared" ref="M34:M37" si="4">J34</f>
        <v>14753</v>
      </c>
      <c r="N34" s="951"/>
      <c r="O34" s="1065"/>
      <c r="P34" s="1059"/>
      <c r="Q34" s="947"/>
      <c r="R34" s="947"/>
    </row>
    <row r="35" spans="1:18" s="86" customFormat="1" ht="21.75" customHeight="1" x14ac:dyDescent="0.2">
      <c r="A35" s="958" t="s">
        <v>522</v>
      </c>
      <c r="B35" s="960" t="s">
        <v>1127</v>
      </c>
      <c r="C35" s="944" t="s">
        <v>508</v>
      </c>
      <c r="D35" s="951">
        <v>10000</v>
      </c>
      <c r="E35" s="951"/>
      <c r="F35" s="1065"/>
      <c r="G35" s="1059">
        <v>2700</v>
      </c>
      <c r="H35" s="951"/>
      <c r="I35" s="1065"/>
      <c r="J35" s="1092">
        <f t="shared" si="1"/>
        <v>12700</v>
      </c>
      <c r="K35" s="952"/>
      <c r="L35" s="1101"/>
      <c r="M35" s="1059">
        <f t="shared" si="4"/>
        <v>12700</v>
      </c>
      <c r="N35" s="951"/>
      <c r="O35" s="1065"/>
      <c r="P35" s="1059"/>
      <c r="Q35" s="953"/>
      <c r="R35" s="947"/>
    </row>
    <row r="36" spans="1:18" s="86" customFormat="1" ht="21.75" customHeight="1" x14ac:dyDescent="0.2">
      <c r="A36" s="958" t="s">
        <v>564</v>
      </c>
      <c r="B36" s="960" t="s">
        <v>995</v>
      </c>
      <c r="C36" s="944" t="s">
        <v>508</v>
      </c>
      <c r="D36" s="951">
        <v>3000</v>
      </c>
      <c r="E36" s="951"/>
      <c r="F36" s="1065"/>
      <c r="G36" s="1059">
        <v>810</v>
      </c>
      <c r="H36" s="951"/>
      <c r="I36" s="1065"/>
      <c r="J36" s="1092">
        <f t="shared" si="1"/>
        <v>3810</v>
      </c>
      <c r="K36" s="952"/>
      <c r="L36" s="1101"/>
      <c r="M36" s="1059">
        <f t="shared" si="4"/>
        <v>3810</v>
      </c>
      <c r="N36" s="951"/>
      <c r="O36" s="1065"/>
      <c r="P36" s="1059"/>
      <c r="Q36" s="953"/>
      <c r="R36" s="947"/>
    </row>
    <row r="37" spans="1:18" s="86" customFormat="1" ht="21.75" customHeight="1" x14ac:dyDescent="0.2">
      <c r="A37" s="958" t="s">
        <v>565</v>
      </c>
      <c r="B37" s="960" t="s">
        <v>999</v>
      </c>
      <c r="C37" s="944" t="s">
        <v>508</v>
      </c>
      <c r="D37" s="951">
        <v>12367</v>
      </c>
      <c r="E37" s="951"/>
      <c r="F37" s="1065"/>
      <c r="G37" s="1059">
        <v>3339</v>
      </c>
      <c r="H37" s="951"/>
      <c r="I37" s="1065"/>
      <c r="J37" s="1092">
        <f t="shared" si="1"/>
        <v>15706</v>
      </c>
      <c r="K37" s="952"/>
      <c r="L37" s="1101"/>
      <c r="M37" s="1059">
        <f t="shared" si="4"/>
        <v>15706</v>
      </c>
      <c r="N37" s="951"/>
      <c r="O37" s="1065"/>
      <c r="P37" s="1059"/>
      <c r="Q37" s="953"/>
      <c r="R37" s="947"/>
    </row>
    <row r="38" spans="1:18" s="86" customFormat="1" ht="21.75" customHeight="1" x14ac:dyDescent="0.2">
      <c r="A38" s="963" t="s">
        <v>1229</v>
      </c>
      <c r="B38" s="960" t="s">
        <v>1032</v>
      </c>
      <c r="C38" s="944" t="s">
        <v>508</v>
      </c>
      <c r="D38" s="951">
        <v>2362</v>
      </c>
      <c r="E38" s="951"/>
      <c r="F38" s="1065"/>
      <c r="G38" s="1059">
        <v>638</v>
      </c>
      <c r="H38" s="951"/>
      <c r="I38" s="1065"/>
      <c r="J38" s="1092">
        <f t="shared" si="1"/>
        <v>3000</v>
      </c>
      <c r="K38" s="952"/>
      <c r="L38" s="1101"/>
      <c r="M38" s="1059"/>
      <c r="N38" s="951"/>
      <c r="O38" s="1065"/>
      <c r="P38" s="1059">
        <f>J38</f>
        <v>3000</v>
      </c>
      <c r="Q38" s="953"/>
      <c r="R38" s="947"/>
    </row>
    <row r="39" spans="1:18" s="86" customFormat="1" ht="27" customHeight="1" x14ac:dyDescent="0.2">
      <c r="A39" s="963" t="s">
        <v>1230</v>
      </c>
      <c r="B39" s="960" t="s">
        <v>1231</v>
      </c>
      <c r="C39" s="951" t="s">
        <v>996</v>
      </c>
      <c r="D39" s="951">
        <v>60829</v>
      </c>
      <c r="E39" s="951"/>
      <c r="F39" s="1065"/>
      <c r="G39" s="1059">
        <v>16424</v>
      </c>
      <c r="H39" s="951"/>
      <c r="I39" s="1065"/>
      <c r="J39" s="1092">
        <f t="shared" si="1"/>
        <v>77253</v>
      </c>
      <c r="K39" s="952"/>
      <c r="L39" s="1101"/>
      <c r="M39" s="1059"/>
      <c r="N39" s="951"/>
      <c r="O39" s="1065"/>
      <c r="P39" s="1059">
        <f>J39</f>
        <v>77253</v>
      </c>
      <c r="Q39" s="953"/>
      <c r="R39" s="947"/>
    </row>
    <row r="40" spans="1:18" s="86" customFormat="1" ht="26.25" customHeight="1" x14ac:dyDescent="0.2">
      <c r="A40" s="958" t="s">
        <v>567</v>
      </c>
      <c r="B40" s="960" t="s">
        <v>1241</v>
      </c>
      <c r="C40" s="944" t="s">
        <v>508</v>
      </c>
      <c r="D40" s="951">
        <v>41732</v>
      </c>
      <c r="E40" s="951"/>
      <c r="F40" s="1065"/>
      <c r="G40" s="1059">
        <v>11268</v>
      </c>
      <c r="H40" s="951"/>
      <c r="I40" s="1065"/>
      <c r="J40" s="1092">
        <f t="shared" si="1"/>
        <v>53000</v>
      </c>
      <c r="K40" s="952"/>
      <c r="L40" s="1101"/>
      <c r="M40" s="1059">
        <f>J40</f>
        <v>53000</v>
      </c>
      <c r="N40" s="951"/>
      <c r="O40" s="1065"/>
      <c r="P40" s="1059"/>
      <c r="Q40" s="953"/>
      <c r="R40" s="947"/>
    </row>
    <row r="41" spans="1:18" s="86" customFormat="1" ht="27.75" customHeight="1" x14ac:dyDescent="0.2">
      <c r="A41" s="958" t="s">
        <v>568</v>
      </c>
      <c r="B41" s="964" t="s">
        <v>1232</v>
      </c>
      <c r="C41" s="944" t="s">
        <v>508</v>
      </c>
      <c r="D41" s="951">
        <v>0</v>
      </c>
      <c r="E41" s="951"/>
      <c r="F41" s="1065"/>
      <c r="G41" s="1059">
        <v>0</v>
      </c>
      <c r="H41" s="951"/>
      <c r="I41" s="1065"/>
      <c r="J41" s="1092">
        <f t="shared" ref="J41" si="5">D41+G41</f>
        <v>0</v>
      </c>
      <c r="K41" s="952"/>
      <c r="L41" s="1101"/>
      <c r="M41" s="1059">
        <f>J41</f>
        <v>0</v>
      </c>
      <c r="N41" s="951"/>
      <c r="O41" s="1065"/>
      <c r="P41" s="1059"/>
      <c r="Q41" s="947"/>
      <c r="R41" s="947"/>
    </row>
    <row r="42" spans="1:18" s="86" customFormat="1" ht="27.75" customHeight="1" x14ac:dyDescent="0.2">
      <c r="A42" s="963" t="s">
        <v>1175</v>
      </c>
      <c r="B42" s="965" t="s">
        <v>1077</v>
      </c>
      <c r="C42" s="944" t="s">
        <v>508</v>
      </c>
      <c r="D42" s="951">
        <v>162251</v>
      </c>
      <c r="E42" s="951"/>
      <c r="F42" s="1065"/>
      <c r="G42" s="1059">
        <v>43808</v>
      </c>
      <c r="H42" s="951"/>
      <c r="I42" s="1065"/>
      <c r="J42" s="1092">
        <f>SUM(D42:G42)</f>
        <v>206059</v>
      </c>
      <c r="K42" s="952"/>
      <c r="L42" s="1101"/>
      <c r="M42" s="1059">
        <v>206059</v>
      </c>
      <c r="N42" s="951"/>
      <c r="O42" s="1065"/>
      <c r="P42" s="1059"/>
      <c r="Q42" s="947"/>
      <c r="R42" s="947"/>
    </row>
    <row r="43" spans="1:18" s="86" customFormat="1" ht="27.75" customHeight="1" x14ac:dyDescent="0.2">
      <c r="A43" s="963" t="s">
        <v>1176</v>
      </c>
      <c r="B43" s="966" t="s">
        <v>1177</v>
      </c>
      <c r="C43" s="951" t="s">
        <v>329</v>
      </c>
      <c r="D43" s="951">
        <v>3000</v>
      </c>
      <c r="E43" s="951"/>
      <c r="F43" s="1065"/>
      <c r="G43" s="1059">
        <v>810</v>
      </c>
      <c r="H43" s="951"/>
      <c r="I43" s="1065"/>
      <c r="J43" s="1092">
        <f>SUM(D43:G43)</f>
        <v>3810</v>
      </c>
      <c r="K43" s="952"/>
      <c r="L43" s="1101"/>
      <c r="M43" s="1059">
        <f>J43</f>
        <v>3810</v>
      </c>
      <c r="N43" s="951"/>
      <c r="O43" s="1065"/>
      <c r="P43" s="1059"/>
      <c r="Q43" s="947"/>
      <c r="R43" s="947"/>
    </row>
    <row r="44" spans="1:18" s="86" customFormat="1" ht="27.75" customHeight="1" x14ac:dyDescent="0.2">
      <c r="A44" s="958" t="s">
        <v>570</v>
      </c>
      <c r="B44" s="966" t="s">
        <v>1167</v>
      </c>
      <c r="C44" s="951" t="s">
        <v>329</v>
      </c>
      <c r="D44" s="951">
        <f>6938+197</f>
        <v>7135</v>
      </c>
      <c r="E44" s="951"/>
      <c r="F44" s="1065"/>
      <c r="G44" s="1059">
        <v>53</v>
      </c>
      <c r="H44" s="951"/>
      <c r="I44" s="1065"/>
      <c r="J44" s="1092">
        <f>SUM(D44:G44)</f>
        <v>7188</v>
      </c>
      <c r="K44" s="952"/>
      <c r="L44" s="1101"/>
      <c r="M44" s="1059">
        <f>J44</f>
        <v>7188</v>
      </c>
      <c r="N44" s="951"/>
      <c r="O44" s="1065"/>
      <c r="P44" s="1059"/>
      <c r="Q44" s="947"/>
      <c r="R44" s="947"/>
    </row>
    <row r="45" spans="1:18" s="86" customFormat="1" ht="27.75" customHeight="1" x14ac:dyDescent="0.2">
      <c r="A45" s="958" t="s">
        <v>571</v>
      </c>
      <c r="B45" s="966" t="s">
        <v>1233</v>
      </c>
      <c r="C45" s="951" t="s">
        <v>329</v>
      </c>
      <c r="D45" s="951">
        <v>7200</v>
      </c>
      <c r="E45" s="951"/>
      <c r="F45" s="1065"/>
      <c r="G45" s="1059">
        <v>1944</v>
      </c>
      <c r="H45" s="951"/>
      <c r="I45" s="1065"/>
      <c r="J45" s="1092">
        <f>SUM(D45:G45)</f>
        <v>9144</v>
      </c>
      <c r="K45" s="952"/>
      <c r="L45" s="1101"/>
      <c r="M45" s="1059"/>
      <c r="N45" s="951"/>
      <c r="O45" s="1065"/>
      <c r="P45" s="1059">
        <f>J45</f>
        <v>9144</v>
      </c>
      <c r="Q45" s="947"/>
      <c r="R45" s="947"/>
    </row>
    <row r="46" spans="1:18" s="86" customFormat="1" ht="17.25" customHeight="1" x14ac:dyDescent="0.2">
      <c r="A46" s="958"/>
      <c r="B46" s="966"/>
      <c r="C46" s="951"/>
      <c r="D46" s="951"/>
      <c r="E46" s="951"/>
      <c r="F46" s="1065"/>
      <c r="G46" s="1059"/>
      <c r="H46" s="951"/>
      <c r="I46" s="1065"/>
      <c r="J46" s="1092"/>
      <c r="K46" s="952"/>
      <c r="L46" s="1101"/>
      <c r="M46" s="1059"/>
      <c r="N46" s="951"/>
      <c r="O46" s="1065"/>
      <c r="P46" s="1059"/>
      <c r="Q46" s="947"/>
      <c r="R46" s="947"/>
    </row>
    <row r="47" spans="1:18" s="86" customFormat="1" ht="17.25" customHeight="1" x14ac:dyDescent="0.2">
      <c r="A47" s="958"/>
      <c r="B47" s="966"/>
      <c r="C47" s="951"/>
      <c r="D47" s="951"/>
      <c r="E47" s="951"/>
      <c r="F47" s="1065"/>
      <c r="G47" s="1059"/>
      <c r="H47" s="951"/>
      <c r="I47" s="1065"/>
      <c r="J47" s="1092"/>
      <c r="K47" s="952"/>
      <c r="L47" s="1101"/>
      <c r="M47" s="1059"/>
      <c r="N47" s="951"/>
      <c r="O47" s="1065"/>
      <c r="P47" s="1059"/>
      <c r="Q47" s="947"/>
      <c r="R47" s="947"/>
    </row>
    <row r="48" spans="1:18" s="86" customFormat="1" ht="18.75" customHeight="1" x14ac:dyDescent="0.2">
      <c r="A48" s="958"/>
      <c r="B48" s="966"/>
      <c r="C48" s="951"/>
      <c r="D48" s="951"/>
      <c r="E48" s="951"/>
      <c r="F48" s="1065"/>
      <c r="G48" s="1059"/>
      <c r="H48" s="951"/>
      <c r="I48" s="1065"/>
      <c r="J48" s="1092"/>
      <c r="K48" s="952"/>
      <c r="L48" s="1101"/>
      <c r="M48" s="1059"/>
      <c r="N48" s="951"/>
      <c r="O48" s="1065"/>
      <c r="P48" s="1059"/>
      <c r="Q48" s="947"/>
      <c r="R48" s="947"/>
    </row>
    <row r="49" spans="1:18" s="86" customFormat="1" ht="17.25" customHeight="1" x14ac:dyDescent="0.2">
      <c r="A49" s="958"/>
      <c r="B49" s="966"/>
      <c r="C49" s="951"/>
      <c r="D49" s="951"/>
      <c r="E49" s="951"/>
      <c r="F49" s="1065"/>
      <c r="G49" s="1059"/>
      <c r="H49" s="951"/>
      <c r="I49" s="1065"/>
      <c r="J49" s="1092"/>
      <c r="K49" s="952"/>
      <c r="L49" s="1101"/>
      <c r="M49" s="1059"/>
      <c r="N49" s="951"/>
      <c r="O49" s="1065"/>
      <c r="P49" s="1059"/>
      <c r="Q49" s="947"/>
      <c r="R49" s="947"/>
    </row>
    <row r="50" spans="1:18" s="86" customFormat="1" ht="10.5" customHeight="1" thickBot="1" x14ac:dyDescent="0.25">
      <c r="A50" s="1009"/>
      <c r="B50" s="1010"/>
      <c r="C50" s="1011"/>
      <c r="D50" s="1011"/>
      <c r="E50" s="1011"/>
      <c r="F50" s="1079"/>
      <c r="G50" s="1066"/>
      <c r="H50" s="1011"/>
      <c r="I50" s="1079"/>
      <c r="J50" s="1093"/>
      <c r="K50" s="1012"/>
      <c r="L50" s="1109"/>
      <c r="M50" s="1066"/>
      <c r="N50" s="1011"/>
      <c r="O50" s="1079"/>
      <c r="P50" s="1066"/>
      <c r="Q50" s="987"/>
      <c r="R50" s="987"/>
    </row>
    <row r="51" spans="1:18" ht="13.9" customHeight="1" thickBot="1" x14ac:dyDescent="0.25">
      <c r="A51" s="1016"/>
      <c r="B51" s="995" t="s">
        <v>523</v>
      </c>
      <c r="C51" s="1017"/>
      <c r="D51" s="997">
        <f>SUM(D24:D45)</f>
        <v>1572381</v>
      </c>
      <c r="E51" s="997"/>
      <c r="F51" s="1063"/>
      <c r="G51" s="1057">
        <f t="shared" ref="G51:P51" si="6">SUM(G24:G45)</f>
        <v>422681</v>
      </c>
      <c r="H51" s="997"/>
      <c r="I51" s="1063"/>
      <c r="J51" s="1057">
        <f t="shared" si="6"/>
        <v>1995062</v>
      </c>
      <c r="K51" s="997"/>
      <c r="L51" s="1063"/>
      <c r="M51" s="1057">
        <f t="shared" si="6"/>
        <v>1898711</v>
      </c>
      <c r="N51" s="997"/>
      <c r="O51" s="1063"/>
      <c r="P51" s="1057">
        <f t="shared" si="6"/>
        <v>96351</v>
      </c>
      <c r="Q51" s="1007"/>
      <c r="R51" s="1008"/>
    </row>
    <row r="52" spans="1:18" s="86" customFormat="1" ht="13.9" customHeight="1" x14ac:dyDescent="0.2">
      <c r="A52" s="1013"/>
      <c r="B52" s="989"/>
      <c r="C52" s="1014"/>
      <c r="D52" s="990"/>
      <c r="E52" s="990"/>
      <c r="F52" s="1064"/>
      <c r="G52" s="1058"/>
      <c r="H52" s="990"/>
      <c r="I52" s="1064"/>
      <c r="J52" s="1072"/>
      <c r="K52" s="991"/>
      <c r="L52" s="1085"/>
      <c r="M52" s="1058"/>
      <c r="N52" s="990"/>
      <c r="O52" s="1064"/>
      <c r="P52" s="1072"/>
      <c r="Q52" s="1015"/>
      <c r="R52" s="1015"/>
    </row>
    <row r="53" spans="1:18" s="86" customFormat="1" ht="13.9" customHeight="1" x14ac:dyDescent="0.2">
      <c r="A53" s="936"/>
      <c r="B53" s="943"/>
      <c r="C53" s="957"/>
      <c r="D53" s="938"/>
      <c r="E53" s="938"/>
      <c r="F53" s="1061"/>
      <c r="G53" s="1055"/>
      <c r="H53" s="938"/>
      <c r="I53" s="1061"/>
      <c r="J53" s="1067"/>
      <c r="K53" s="939"/>
      <c r="L53" s="1080"/>
      <c r="M53" s="1055"/>
      <c r="N53" s="938"/>
      <c r="O53" s="1061"/>
      <c r="P53" s="1055"/>
      <c r="Q53" s="947"/>
      <c r="R53" s="947"/>
    </row>
    <row r="54" spans="1:18" s="87" customFormat="1" ht="15.75" customHeight="1" x14ac:dyDescent="0.15">
      <c r="A54" s="950" t="s">
        <v>524</v>
      </c>
      <c r="B54" s="948" t="s">
        <v>525</v>
      </c>
      <c r="C54" s="967"/>
      <c r="D54" s="939"/>
      <c r="E54" s="939"/>
      <c r="F54" s="1080"/>
      <c r="G54" s="1067"/>
      <c r="H54" s="939"/>
      <c r="I54" s="1080"/>
      <c r="J54" s="1067"/>
      <c r="K54" s="939"/>
      <c r="L54" s="1080"/>
      <c r="M54" s="1102"/>
      <c r="N54" s="968"/>
      <c r="O54" s="1116"/>
      <c r="P54" s="1102"/>
      <c r="Q54" s="969"/>
      <c r="R54" s="969"/>
    </row>
    <row r="55" spans="1:18" s="87" customFormat="1" ht="15.75" customHeight="1" x14ac:dyDescent="0.15">
      <c r="A55" s="958" t="s">
        <v>526</v>
      </c>
      <c r="B55" s="943" t="s">
        <v>582</v>
      </c>
      <c r="C55" s="970" t="s">
        <v>326</v>
      </c>
      <c r="D55" s="971">
        <v>5000</v>
      </c>
      <c r="E55" s="971"/>
      <c r="F55" s="1081"/>
      <c r="G55" s="1068">
        <f>D55*0.27</f>
        <v>1350</v>
      </c>
      <c r="H55" s="971"/>
      <c r="I55" s="1081"/>
      <c r="J55" s="1094">
        <f>D55+G55</f>
        <v>6350</v>
      </c>
      <c r="K55" s="972"/>
      <c r="L55" s="1110"/>
      <c r="M55" s="1068">
        <v>6350</v>
      </c>
      <c r="N55" s="971"/>
      <c r="O55" s="1081"/>
      <c r="P55" s="1068"/>
      <c r="Q55" s="969"/>
      <c r="R55" s="969"/>
    </row>
    <row r="56" spans="1:18" s="87" customFormat="1" ht="15.75" customHeight="1" x14ac:dyDescent="0.2">
      <c r="A56" s="958" t="s">
        <v>705</v>
      </c>
      <c r="B56" s="973" t="s">
        <v>184</v>
      </c>
      <c r="C56" s="970" t="s">
        <v>326</v>
      </c>
      <c r="D56" s="944">
        <v>1000</v>
      </c>
      <c r="E56" s="944"/>
      <c r="F56" s="1082"/>
      <c r="G56" s="1069">
        <f>D56*0.27</f>
        <v>270</v>
      </c>
      <c r="H56" s="944"/>
      <c r="I56" s="1082"/>
      <c r="J56" s="1095">
        <f>SUM(D56:G56)</f>
        <v>1270</v>
      </c>
      <c r="K56" s="974"/>
      <c r="L56" s="1111"/>
      <c r="M56" s="1095"/>
      <c r="N56" s="974"/>
      <c r="O56" s="1111"/>
      <c r="P56" s="1069">
        <v>1270</v>
      </c>
      <c r="Q56" s="969"/>
      <c r="R56" s="969"/>
    </row>
    <row r="57" spans="1:18" s="87" customFormat="1" ht="27" customHeight="1" x14ac:dyDescent="0.15">
      <c r="A57" s="958" t="s">
        <v>101</v>
      </c>
      <c r="B57" s="960" t="s">
        <v>1242</v>
      </c>
      <c r="C57" s="970" t="s">
        <v>326</v>
      </c>
      <c r="D57" s="944">
        <v>14961</v>
      </c>
      <c r="E57" s="944"/>
      <c r="F57" s="1082"/>
      <c r="G57" s="1069">
        <v>4039</v>
      </c>
      <c r="H57" s="944"/>
      <c r="I57" s="1082"/>
      <c r="J57" s="1095">
        <f t="shared" ref="J57:J61" si="7">D57+G57</f>
        <v>19000</v>
      </c>
      <c r="K57" s="974"/>
      <c r="L57" s="1111"/>
      <c r="M57" s="1069">
        <f>J57</f>
        <v>19000</v>
      </c>
      <c r="N57" s="944"/>
      <c r="O57" s="1082"/>
      <c r="P57" s="1069"/>
      <c r="Q57" s="969"/>
      <c r="R57" s="969"/>
    </row>
    <row r="58" spans="1:18" s="87" customFormat="1" ht="27" customHeight="1" x14ac:dyDescent="0.15">
      <c r="A58" s="958" t="s">
        <v>321</v>
      </c>
      <c r="B58" s="960" t="s">
        <v>1078</v>
      </c>
      <c r="C58" s="970" t="s">
        <v>326</v>
      </c>
      <c r="D58" s="944">
        <v>35000</v>
      </c>
      <c r="E58" s="944"/>
      <c r="F58" s="1082"/>
      <c r="G58" s="1069">
        <v>9450</v>
      </c>
      <c r="H58" s="944"/>
      <c r="I58" s="1082"/>
      <c r="J58" s="1095">
        <f t="shared" si="7"/>
        <v>44450</v>
      </c>
      <c r="K58" s="974"/>
      <c r="L58" s="1111"/>
      <c r="M58" s="1069">
        <v>44450</v>
      </c>
      <c r="N58" s="944"/>
      <c r="O58" s="1082"/>
      <c r="P58" s="1069"/>
      <c r="Q58" s="969"/>
      <c r="R58" s="969"/>
    </row>
    <row r="59" spans="1:18" s="87" customFormat="1" ht="25.9" customHeight="1" x14ac:dyDescent="0.2">
      <c r="A59" s="958" t="s">
        <v>1139</v>
      </c>
      <c r="B59" s="973" t="s">
        <v>1077</v>
      </c>
      <c r="C59" s="970" t="s">
        <v>326</v>
      </c>
      <c r="D59" s="944">
        <v>17970</v>
      </c>
      <c r="E59" s="944"/>
      <c r="F59" s="1082"/>
      <c r="G59" s="1069">
        <v>4852</v>
      </c>
      <c r="H59" s="944"/>
      <c r="I59" s="1082"/>
      <c r="J59" s="1095">
        <f t="shared" si="7"/>
        <v>22822</v>
      </c>
      <c r="K59" s="974"/>
      <c r="L59" s="1111"/>
      <c r="M59" s="1095">
        <v>22822</v>
      </c>
      <c r="N59" s="974"/>
      <c r="O59" s="1111"/>
      <c r="P59" s="1069"/>
      <c r="Q59" s="969"/>
      <c r="R59" s="969"/>
    </row>
    <row r="60" spans="1:18" s="87" customFormat="1" ht="25.9" customHeight="1" x14ac:dyDescent="0.2">
      <c r="A60" s="958" t="s">
        <v>955</v>
      </c>
      <c r="B60" s="973" t="s">
        <v>1140</v>
      </c>
      <c r="C60" s="970" t="s">
        <v>326</v>
      </c>
      <c r="D60" s="944">
        <v>248</v>
      </c>
      <c r="E60" s="944"/>
      <c r="F60" s="1082"/>
      <c r="G60" s="1069">
        <v>67</v>
      </c>
      <c r="H60" s="944"/>
      <c r="I60" s="1082"/>
      <c r="J60" s="1095">
        <f t="shared" si="7"/>
        <v>315</v>
      </c>
      <c r="K60" s="974"/>
      <c r="L60" s="1111"/>
      <c r="M60" s="1095"/>
      <c r="N60" s="974"/>
      <c r="O60" s="1111"/>
      <c r="P60" s="1069">
        <f>J60</f>
        <v>315</v>
      </c>
      <c r="Q60" s="969"/>
      <c r="R60" s="969"/>
    </row>
    <row r="61" spans="1:18" s="87" customFormat="1" ht="31.5" customHeight="1" x14ac:dyDescent="0.15">
      <c r="A61" s="958" t="s">
        <v>1234</v>
      </c>
      <c r="B61" s="960" t="s">
        <v>1235</v>
      </c>
      <c r="C61" s="970" t="s">
        <v>326</v>
      </c>
      <c r="D61" s="944">
        <v>12598</v>
      </c>
      <c r="E61" s="944"/>
      <c r="F61" s="1082"/>
      <c r="G61" s="1069">
        <v>3402</v>
      </c>
      <c r="H61" s="944"/>
      <c r="I61" s="1082"/>
      <c r="J61" s="1095">
        <f t="shared" si="7"/>
        <v>16000</v>
      </c>
      <c r="K61" s="974"/>
      <c r="L61" s="1111"/>
      <c r="M61" s="1095"/>
      <c r="N61" s="974"/>
      <c r="O61" s="1111"/>
      <c r="P61" s="1069">
        <f>J61</f>
        <v>16000</v>
      </c>
      <c r="Q61" s="969"/>
      <c r="R61" s="969"/>
    </row>
    <row r="62" spans="1:18" s="87" customFormat="1" ht="31.5" customHeight="1" x14ac:dyDescent="0.15">
      <c r="A62" s="958"/>
      <c r="B62" s="960"/>
      <c r="C62" s="970"/>
      <c r="D62" s="944"/>
      <c r="E62" s="944"/>
      <c r="F62" s="1082"/>
      <c r="G62" s="1069"/>
      <c r="H62" s="944"/>
      <c r="I62" s="1082"/>
      <c r="J62" s="1095"/>
      <c r="K62" s="974"/>
      <c r="L62" s="1111"/>
      <c r="M62" s="1095"/>
      <c r="N62" s="974"/>
      <c r="O62" s="1111"/>
      <c r="P62" s="1069"/>
      <c r="Q62" s="969"/>
      <c r="R62" s="969"/>
    </row>
    <row r="63" spans="1:18" s="87" customFormat="1" ht="9.75" customHeight="1" thickBot="1" x14ac:dyDescent="0.2">
      <c r="A63" s="1009"/>
      <c r="B63" s="1018"/>
      <c r="C63" s="1019"/>
      <c r="D63" s="983"/>
      <c r="E63" s="983"/>
      <c r="F63" s="1083"/>
      <c r="G63" s="1070"/>
      <c r="H63" s="983"/>
      <c r="I63" s="1083"/>
      <c r="J63" s="1096"/>
      <c r="K63" s="1020"/>
      <c r="L63" s="1112"/>
      <c r="M63" s="1096"/>
      <c r="N63" s="1020"/>
      <c r="O63" s="1112"/>
      <c r="P63" s="1070"/>
      <c r="Q63" s="1021"/>
      <c r="R63" s="1021"/>
    </row>
    <row r="64" spans="1:18" s="87" customFormat="1" ht="12" customHeight="1" thickBot="1" x14ac:dyDescent="0.2">
      <c r="A64" s="1005"/>
      <c r="B64" s="995" t="s">
        <v>527</v>
      </c>
      <c r="C64" s="1017"/>
      <c r="D64" s="996">
        <f>SUM(D55:D61)</f>
        <v>86777</v>
      </c>
      <c r="E64" s="996"/>
      <c r="F64" s="1084"/>
      <c r="G64" s="1071">
        <f t="shared" ref="G64:P64" si="8">SUM(G55:G61)</f>
        <v>23430</v>
      </c>
      <c r="H64" s="996"/>
      <c r="I64" s="1084"/>
      <c r="J64" s="1071">
        <f t="shared" si="8"/>
        <v>110207</v>
      </c>
      <c r="K64" s="996"/>
      <c r="L64" s="1084"/>
      <c r="M64" s="1071">
        <f t="shared" si="8"/>
        <v>92622</v>
      </c>
      <c r="N64" s="996"/>
      <c r="O64" s="1084"/>
      <c r="P64" s="1071">
        <f t="shared" si="8"/>
        <v>17585</v>
      </c>
      <c r="Q64" s="1025"/>
      <c r="R64" s="1026"/>
    </row>
    <row r="65" spans="1:18" s="87" customFormat="1" ht="12" customHeight="1" x14ac:dyDescent="0.15">
      <c r="A65" s="988"/>
      <c r="B65" s="1022"/>
      <c r="C65" s="1023"/>
      <c r="D65" s="991"/>
      <c r="E65" s="991"/>
      <c r="F65" s="1085"/>
      <c r="G65" s="1072"/>
      <c r="H65" s="991"/>
      <c r="I65" s="1085"/>
      <c r="J65" s="1072"/>
      <c r="K65" s="991"/>
      <c r="L65" s="1085"/>
      <c r="M65" s="1072"/>
      <c r="N65" s="991"/>
      <c r="O65" s="1085"/>
      <c r="P65" s="1072"/>
      <c r="Q65" s="1024"/>
      <c r="R65" s="1024"/>
    </row>
    <row r="66" spans="1:18" s="87" customFormat="1" ht="12" customHeight="1" x14ac:dyDescent="0.15">
      <c r="A66" s="950"/>
      <c r="B66" s="948"/>
      <c r="C66" s="967"/>
      <c r="D66" s="939"/>
      <c r="E66" s="939"/>
      <c r="F66" s="1080"/>
      <c r="G66" s="1067"/>
      <c r="H66" s="939"/>
      <c r="I66" s="1080"/>
      <c r="J66" s="1067"/>
      <c r="K66" s="939"/>
      <c r="L66" s="1080"/>
      <c r="M66" s="1102"/>
      <c r="N66" s="968"/>
      <c r="O66" s="1116"/>
      <c r="P66" s="1102"/>
      <c r="Q66" s="969"/>
      <c r="R66" s="969"/>
    </row>
    <row r="67" spans="1:18" s="80" customFormat="1" ht="15" customHeight="1" x14ac:dyDescent="0.2">
      <c r="A67" s="950" t="s">
        <v>528</v>
      </c>
      <c r="B67" s="937" t="s">
        <v>529</v>
      </c>
      <c r="C67" s="939"/>
      <c r="D67" s="939"/>
      <c r="E67" s="939"/>
      <c r="F67" s="1080"/>
      <c r="G67" s="1067"/>
      <c r="H67" s="939"/>
      <c r="I67" s="1080"/>
      <c r="J67" s="1067"/>
      <c r="K67" s="939"/>
      <c r="L67" s="1080"/>
      <c r="M67" s="1103"/>
      <c r="N67" s="945"/>
      <c r="O67" s="1117"/>
      <c r="P67" s="1103"/>
      <c r="Q67" s="949"/>
      <c r="R67" s="949"/>
    </row>
    <row r="68" spans="1:18" s="80" customFormat="1" ht="15" customHeight="1" thickBot="1" x14ac:dyDescent="0.25">
      <c r="A68" s="1027"/>
      <c r="B68" s="1001"/>
      <c r="C68" s="1028"/>
      <c r="D68" s="986"/>
      <c r="E68" s="986"/>
      <c r="F68" s="1086"/>
      <c r="G68" s="1073"/>
      <c r="H68" s="986"/>
      <c r="I68" s="1086"/>
      <c r="J68" s="1075"/>
      <c r="K68" s="1029"/>
      <c r="L68" s="1088"/>
      <c r="M68" s="1056"/>
      <c r="N68" s="984"/>
      <c r="O68" s="1062"/>
      <c r="P68" s="1056"/>
      <c r="Q68" s="1030"/>
      <c r="R68" s="1030"/>
    </row>
    <row r="69" spans="1:18" s="80" customFormat="1" ht="13.5" customHeight="1" thickBot="1" x14ac:dyDescent="0.25">
      <c r="A69" s="1005"/>
      <c r="B69" s="1006" t="s">
        <v>530</v>
      </c>
      <c r="C69" s="996"/>
      <c r="D69" s="996">
        <f>SUM(D68)</f>
        <v>0</v>
      </c>
      <c r="E69" s="996"/>
      <c r="F69" s="1084"/>
      <c r="G69" s="1071">
        <f>SUM(G68)</f>
        <v>0</v>
      </c>
      <c r="H69" s="996"/>
      <c r="I69" s="1084"/>
      <c r="J69" s="1071">
        <f>SUM(J68)</f>
        <v>0</v>
      </c>
      <c r="K69" s="996"/>
      <c r="L69" s="1084"/>
      <c r="M69" s="1071">
        <f>SUM(M68)</f>
        <v>0</v>
      </c>
      <c r="N69" s="996"/>
      <c r="O69" s="1084"/>
      <c r="P69" s="1071">
        <f>SUM(P68)</f>
        <v>0</v>
      </c>
      <c r="Q69" s="998"/>
      <c r="R69" s="1033"/>
    </row>
    <row r="70" spans="1:18" s="80" customFormat="1" ht="13.5" customHeight="1" x14ac:dyDescent="0.2">
      <c r="A70" s="988"/>
      <c r="B70" s="1031"/>
      <c r="C70" s="991"/>
      <c r="D70" s="991"/>
      <c r="E70" s="991"/>
      <c r="F70" s="1085"/>
      <c r="G70" s="1072"/>
      <c r="H70" s="991"/>
      <c r="I70" s="1085"/>
      <c r="J70" s="1072"/>
      <c r="K70" s="991"/>
      <c r="L70" s="1085"/>
      <c r="M70" s="1072"/>
      <c r="N70" s="991"/>
      <c r="O70" s="1085"/>
      <c r="P70" s="1072"/>
      <c r="Q70" s="1032"/>
      <c r="R70" s="1032"/>
    </row>
    <row r="71" spans="1:18" s="80" customFormat="1" ht="13.5" customHeight="1" x14ac:dyDescent="0.2">
      <c r="A71" s="950"/>
      <c r="B71" s="937"/>
      <c r="C71" s="939"/>
      <c r="D71" s="939"/>
      <c r="E71" s="939"/>
      <c r="F71" s="1080"/>
      <c r="G71" s="1067"/>
      <c r="H71" s="939"/>
      <c r="I71" s="1080"/>
      <c r="J71" s="1067"/>
      <c r="K71" s="939"/>
      <c r="L71" s="1080"/>
      <c r="M71" s="1103"/>
      <c r="N71" s="945"/>
      <c r="O71" s="1117"/>
      <c r="P71" s="1103"/>
      <c r="Q71" s="949"/>
      <c r="R71" s="949"/>
    </row>
    <row r="72" spans="1:18" s="80" customFormat="1" ht="13.5" customHeight="1" x14ac:dyDescent="0.2">
      <c r="A72" s="950" t="s">
        <v>90</v>
      </c>
      <c r="B72" s="937" t="s">
        <v>185</v>
      </c>
      <c r="C72" s="939"/>
      <c r="D72" s="949"/>
      <c r="E72" s="949"/>
      <c r="F72" s="1087"/>
      <c r="G72" s="1074"/>
      <c r="H72" s="949"/>
      <c r="I72" s="1087"/>
      <c r="J72" s="1055"/>
      <c r="K72" s="938"/>
      <c r="L72" s="1061"/>
      <c r="M72" s="1103"/>
      <c r="N72" s="945"/>
      <c r="O72" s="1117"/>
      <c r="P72" s="1055"/>
      <c r="Q72" s="949"/>
      <c r="R72" s="949"/>
    </row>
    <row r="73" spans="1:18" s="80" customFormat="1" ht="20.25" customHeight="1" x14ac:dyDescent="0.2">
      <c r="A73" s="936" t="s">
        <v>526</v>
      </c>
      <c r="B73" s="954" t="s">
        <v>1079</v>
      </c>
      <c r="C73" s="939" t="s">
        <v>326</v>
      </c>
      <c r="D73" s="944">
        <v>8000</v>
      </c>
      <c r="E73" s="944"/>
      <c r="F73" s="1082"/>
      <c r="G73" s="1069">
        <f>D73*0.27</f>
        <v>2160</v>
      </c>
      <c r="H73" s="944"/>
      <c r="I73" s="1082"/>
      <c r="J73" s="1095">
        <f>SUM(D73:G73)</f>
        <v>10160</v>
      </c>
      <c r="K73" s="974"/>
      <c r="L73" s="1111"/>
      <c r="M73" s="1059"/>
      <c r="N73" s="951"/>
      <c r="O73" s="1065"/>
      <c r="P73" s="1069">
        <f>SUM(J73:M73)</f>
        <v>10160</v>
      </c>
      <c r="Q73" s="949"/>
      <c r="R73" s="949"/>
    </row>
    <row r="74" spans="1:18" s="80" customFormat="1" ht="25.5" customHeight="1" x14ac:dyDescent="0.2">
      <c r="A74" s="936" t="s">
        <v>705</v>
      </c>
      <c r="B74" s="975" t="s">
        <v>1135</v>
      </c>
      <c r="C74" s="970" t="s">
        <v>326</v>
      </c>
      <c r="D74" s="944">
        <v>5000</v>
      </c>
      <c r="E74" s="944"/>
      <c r="F74" s="1082"/>
      <c r="G74" s="1069">
        <v>972</v>
      </c>
      <c r="H74" s="944"/>
      <c r="I74" s="1082"/>
      <c r="J74" s="1095">
        <f>SUM(D74:G74)</f>
        <v>5972</v>
      </c>
      <c r="K74" s="974"/>
      <c r="L74" s="1111"/>
      <c r="M74" s="1059"/>
      <c r="N74" s="951"/>
      <c r="O74" s="1065"/>
      <c r="P74" s="1069">
        <f>J74</f>
        <v>5972</v>
      </c>
      <c r="Q74" s="949"/>
      <c r="R74" s="949"/>
    </row>
    <row r="75" spans="1:18" s="80" customFormat="1" ht="24" customHeight="1" x14ac:dyDescent="0.2">
      <c r="A75" s="936" t="s">
        <v>101</v>
      </c>
      <c r="B75" s="954" t="s">
        <v>1136</v>
      </c>
      <c r="C75" s="970" t="s">
        <v>326</v>
      </c>
      <c r="D75" s="944">
        <v>2000</v>
      </c>
      <c r="E75" s="944"/>
      <c r="F75" s="1082"/>
      <c r="G75" s="1069">
        <v>126</v>
      </c>
      <c r="H75" s="944"/>
      <c r="I75" s="1082"/>
      <c r="J75" s="1095">
        <f t="shared" ref="J75" si="9">SUM(D75:G75)</f>
        <v>2126</v>
      </c>
      <c r="K75" s="974"/>
      <c r="L75" s="1111"/>
      <c r="M75" s="1059">
        <f t="shared" ref="M75" si="10">J75</f>
        <v>2126</v>
      </c>
      <c r="N75" s="951"/>
      <c r="O75" s="1065"/>
      <c r="P75" s="1069"/>
      <c r="Q75" s="953"/>
      <c r="R75" s="949"/>
    </row>
    <row r="76" spans="1:18" s="80" customFormat="1" ht="24" customHeight="1" x14ac:dyDescent="0.2">
      <c r="A76" s="936" t="s">
        <v>321</v>
      </c>
      <c r="B76" s="954" t="s">
        <v>1145</v>
      </c>
      <c r="C76" s="970" t="s">
        <v>326</v>
      </c>
      <c r="D76" s="944">
        <v>10000</v>
      </c>
      <c r="E76" s="944"/>
      <c r="F76" s="1082"/>
      <c r="G76" s="1069">
        <v>2700</v>
      </c>
      <c r="H76" s="944"/>
      <c r="I76" s="1082"/>
      <c r="J76" s="1095">
        <f>SUM(D76:G76)</f>
        <v>12700</v>
      </c>
      <c r="K76" s="974"/>
      <c r="L76" s="1111"/>
      <c r="M76" s="1059"/>
      <c r="N76" s="951"/>
      <c r="O76" s="1065"/>
      <c r="P76" s="1069">
        <f>J76</f>
        <v>12700</v>
      </c>
      <c r="Q76" s="953"/>
      <c r="R76" s="949"/>
    </row>
    <row r="77" spans="1:18" s="80" customFormat="1" ht="24" customHeight="1" x14ac:dyDescent="0.2">
      <c r="A77" s="936"/>
      <c r="B77" s="954"/>
      <c r="C77" s="970"/>
      <c r="D77" s="944"/>
      <c r="E77" s="944"/>
      <c r="F77" s="1082"/>
      <c r="G77" s="1069"/>
      <c r="H77" s="944"/>
      <c r="I77" s="1082"/>
      <c r="J77" s="1095"/>
      <c r="K77" s="974"/>
      <c r="L77" s="1111"/>
      <c r="M77" s="1059"/>
      <c r="N77" s="951"/>
      <c r="O77" s="1065"/>
      <c r="P77" s="1069"/>
      <c r="Q77" s="953"/>
      <c r="R77" s="949"/>
    </row>
    <row r="78" spans="1:18" s="80" customFormat="1" ht="13.5" customHeight="1" thickBot="1" x14ac:dyDescent="0.25">
      <c r="A78" s="1000"/>
      <c r="B78" s="1001"/>
      <c r="C78" s="1029"/>
      <c r="D78" s="986"/>
      <c r="E78" s="986"/>
      <c r="F78" s="1086"/>
      <c r="G78" s="1073"/>
      <c r="H78" s="986"/>
      <c r="I78" s="1086"/>
      <c r="J78" s="1073"/>
      <c r="K78" s="986"/>
      <c r="L78" s="1086"/>
      <c r="M78" s="1056"/>
      <c r="N78" s="984"/>
      <c r="O78" s="1062"/>
      <c r="P78" s="1073"/>
      <c r="Q78" s="1030"/>
      <c r="R78" s="1030"/>
    </row>
    <row r="79" spans="1:18" s="80" customFormat="1" ht="12.75" customHeight="1" thickBot="1" x14ac:dyDescent="0.25">
      <c r="A79" s="1036"/>
      <c r="B79" s="1006" t="s">
        <v>186</v>
      </c>
      <c r="C79" s="996"/>
      <c r="D79" s="996">
        <f>SUM(D73:D78)</f>
        <v>25000</v>
      </c>
      <c r="E79" s="996"/>
      <c r="F79" s="1084"/>
      <c r="G79" s="1071">
        <f>SUM(G73:G78)</f>
        <v>5958</v>
      </c>
      <c r="H79" s="996"/>
      <c r="I79" s="1084"/>
      <c r="J79" s="1071">
        <f>SUM(J73:J78)</f>
        <v>30958</v>
      </c>
      <c r="K79" s="996"/>
      <c r="L79" s="1084"/>
      <c r="M79" s="1071">
        <f>SUM(M73:M78)</f>
        <v>2126</v>
      </c>
      <c r="N79" s="996"/>
      <c r="O79" s="1084"/>
      <c r="P79" s="1071">
        <f>SUM(P73:P78)</f>
        <v>28832</v>
      </c>
      <c r="Q79" s="998"/>
      <c r="R79" s="1033"/>
    </row>
    <row r="80" spans="1:18" s="80" customFormat="1" ht="12.75" customHeight="1" x14ac:dyDescent="0.2">
      <c r="A80" s="1034"/>
      <c r="B80" s="1031"/>
      <c r="C80" s="991"/>
      <c r="D80" s="991"/>
      <c r="E80" s="991"/>
      <c r="F80" s="1085"/>
      <c r="G80" s="1072"/>
      <c r="H80" s="991"/>
      <c r="I80" s="1085"/>
      <c r="J80" s="1072"/>
      <c r="K80" s="991"/>
      <c r="L80" s="1085"/>
      <c r="M80" s="1104"/>
      <c r="N80" s="1035"/>
      <c r="O80" s="1118"/>
      <c r="P80" s="1104"/>
      <c r="Q80" s="1032"/>
      <c r="R80" s="1032"/>
    </row>
    <row r="81" spans="1:28" s="80" customFormat="1" ht="24" customHeight="1" x14ac:dyDescent="0.2">
      <c r="A81" s="950" t="s">
        <v>91</v>
      </c>
      <c r="B81" s="937" t="s">
        <v>73</v>
      </c>
      <c r="C81" s="939"/>
      <c r="D81" s="939"/>
      <c r="E81" s="939"/>
      <c r="F81" s="1080"/>
      <c r="G81" s="1067"/>
      <c r="H81" s="939"/>
      <c r="I81" s="1080"/>
      <c r="J81" s="1067"/>
      <c r="K81" s="939"/>
      <c r="L81" s="1080"/>
      <c r="M81" s="1103"/>
      <c r="N81" s="945"/>
      <c r="O81" s="1117"/>
      <c r="P81" s="1103"/>
      <c r="Q81" s="949"/>
      <c r="R81" s="949"/>
    </row>
    <row r="82" spans="1:28" s="80" customFormat="1" ht="24" customHeight="1" x14ac:dyDescent="0.2">
      <c r="A82" s="1027"/>
      <c r="B82" s="1038"/>
      <c r="C82" s="1029"/>
      <c r="D82" s="1029"/>
      <c r="E82" s="1029"/>
      <c r="F82" s="1088"/>
      <c r="G82" s="1075"/>
      <c r="H82" s="1029"/>
      <c r="I82" s="1088"/>
      <c r="J82" s="1075"/>
      <c r="K82" s="1029"/>
      <c r="L82" s="1088"/>
      <c r="M82" s="1056"/>
      <c r="N82" s="984"/>
      <c r="O82" s="1062"/>
      <c r="P82" s="1056"/>
      <c r="Q82" s="1030"/>
      <c r="R82" s="1030"/>
    </row>
    <row r="83" spans="1:28" s="80" customFormat="1" ht="13.5" customHeight="1" thickBot="1" x14ac:dyDescent="0.25">
      <c r="A83" s="1000"/>
      <c r="B83" s="982"/>
      <c r="C83" s="986"/>
      <c r="D83" s="1029"/>
      <c r="E83" s="1029"/>
      <c r="F83" s="1088"/>
      <c r="G83" s="1075"/>
      <c r="H83" s="1029"/>
      <c r="I83" s="1088"/>
      <c r="J83" s="1073"/>
      <c r="K83" s="986"/>
      <c r="L83" s="1086"/>
      <c r="M83" s="1056"/>
      <c r="N83" s="984"/>
      <c r="O83" s="1062"/>
      <c r="P83" s="1056"/>
      <c r="Q83" s="1030"/>
      <c r="R83" s="1030"/>
    </row>
    <row r="84" spans="1:28" s="80" customFormat="1" ht="22.5" customHeight="1" thickBot="1" x14ac:dyDescent="0.25">
      <c r="A84" s="1036"/>
      <c r="B84" s="995" t="s">
        <v>531</v>
      </c>
      <c r="C84" s="996"/>
      <c r="D84" s="996">
        <f>SUM(D83:D83)</f>
        <v>0</v>
      </c>
      <c r="E84" s="996"/>
      <c r="F84" s="1084"/>
      <c r="G84" s="1071">
        <f>SUM(G83:G83)</f>
        <v>0</v>
      </c>
      <c r="H84" s="996"/>
      <c r="I84" s="1084"/>
      <c r="J84" s="1071">
        <f>SUM(J83:J83)</f>
        <v>0</v>
      </c>
      <c r="K84" s="996"/>
      <c r="L84" s="1084"/>
      <c r="M84" s="1071">
        <f>SUM(M83:M83)</f>
        <v>0</v>
      </c>
      <c r="N84" s="996"/>
      <c r="O84" s="1084"/>
      <c r="P84" s="1071">
        <f>SUM(P83:P83)</f>
        <v>0</v>
      </c>
      <c r="Q84" s="998"/>
      <c r="R84" s="1033"/>
    </row>
    <row r="85" spans="1:28" s="80" customFormat="1" ht="12.75" customHeight="1" x14ac:dyDescent="0.2">
      <c r="A85" s="1034"/>
      <c r="B85" s="1037"/>
      <c r="C85" s="990"/>
      <c r="D85" s="991"/>
      <c r="E85" s="991"/>
      <c r="F85" s="1085"/>
      <c r="G85" s="1072"/>
      <c r="H85" s="991"/>
      <c r="I85" s="1085"/>
      <c r="J85" s="1072"/>
      <c r="K85" s="991"/>
      <c r="L85" s="1085"/>
      <c r="M85" s="1104"/>
      <c r="N85" s="1035"/>
      <c r="O85" s="1118"/>
      <c r="P85" s="1104"/>
      <c r="Q85" s="1032"/>
      <c r="R85" s="1032"/>
    </row>
    <row r="86" spans="1:28" s="80" customFormat="1" ht="12" customHeight="1" x14ac:dyDescent="0.2">
      <c r="A86" s="936"/>
      <c r="B86" s="954"/>
      <c r="C86" s="938"/>
      <c r="D86" s="938"/>
      <c r="E86" s="938"/>
      <c r="F86" s="1061"/>
      <c r="G86" s="1055"/>
      <c r="H86" s="938"/>
      <c r="I86" s="1061"/>
      <c r="J86" s="1067"/>
      <c r="K86" s="939"/>
      <c r="L86" s="1080"/>
      <c r="M86" s="1103"/>
      <c r="N86" s="945"/>
      <c r="O86" s="1117"/>
      <c r="P86" s="1103"/>
      <c r="Q86" s="949"/>
      <c r="R86" s="949"/>
    </row>
    <row r="87" spans="1:28" s="80" customFormat="1" ht="12.75" customHeight="1" x14ac:dyDescent="0.2">
      <c r="A87" s="950" t="s">
        <v>92</v>
      </c>
      <c r="B87" s="937" t="s">
        <v>319</v>
      </c>
      <c r="C87" s="938"/>
      <c r="D87" s="938"/>
      <c r="E87" s="938"/>
      <c r="F87" s="1061"/>
      <c r="G87" s="1055"/>
      <c r="H87" s="938"/>
      <c r="I87" s="1061"/>
      <c r="J87" s="1067"/>
      <c r="K87" s="939"/>
      <c r="L87" s="1080"/>
      <c r="M87" s="1103"/>
      <c r="N87" s="945"/>
      <c r="O87" s="1117"/>
      <c r="P87" s="1103"/>
      <c r="Q87" s="949"/>
      <c r="R87" s="949"/>
    </row>
    <row r="88" spans="1:28" s="88" customFormat="1" ht="13.5" customHeight="1" x14ac:dyDescent="0.2">
      <c r="A88" s="936" t="s">
        <v>507</v>
      </c>
      <c r="B88" s="954" t="s">
        <v>74</v>
      </c>
      <c r="C88" s="938"/>
      <c r="D88" s="938">
        <v>29582</v>
      </c>
      <c r="E88" s="938"/>
      <c r="F88" s="1061"/>
      <c r="G88" s="1055"/>
      <c r="H88" s="938"/>
      <c r="I88" s="1061"/>
      <c r="J88" s="1067">
        <f>SUM(D88:G88)</f>
        <v>29582</v>
      </c>
      <c r="K88" s="939"/>
      <c r="L88" s="1080"/>
      <c r="M88" s="1055">
        <f>J88</f>
        <v>29582</v>
      </c>
      <c r="N88" s="938"/>
      <c r="O88" s="1061"/>
      <c r="P88" s="1055"/>
      <c r="Q88" s="976"/>
      <c r="R88" s="976"/>
    </row>
    <row r="89" spans="1:28" s="88" customFormat="1" ht="13.5" customHeight="1" x14ac:dyDescent="0.2">
      <c r="A89" s="936" t="s">
        <v>515</v>
      </c>
      <c r="B89" s="954" t="s">
        <v>1034</v>
      </c>
      <c r="C89" s="938"/>
      <c r="D89" s="938">
        <v>3670</v>
      </c>
      <c r="E89" s="938"/>
      <c r="F89" s="1061"/>
      <c r="G89" s="1055"/>
      <c r="H89" s="938"/>
      <c r="I89" s="1061"/>
      <c r="J89" s="1067">
        <f>SUM(D89:G89)</f>
        <v>3670</v>
      </c>
      <c r="K89" s="939"/>
      <c r="L89" s="1080"/>
      <c r="M89" s="1055">
        <f>J89</f>
        <v>3670</v>
      </c>
      <c r="N89" s="938"/>
      <c r="O89" s="1061"/>
      <c r="P89" s="1055"/>
      <c r="Q89" s="976"/>
      <c r="R89" s="976"/>
      <c r="AB89" s="695"/>
    </row>
    <row r="90" spans="1:28" s="88" customFormat="1" ht="24.75" customHeight="1" x14ac:dyDescent="0.2">
      <c r="A90" s="936" t="s">
        <v>516</v>
      </c>
      <c r="B90" s="912" t="s">
        <v>1236</v>
      </c>
      <c r="C90" s="951"/>
      <c r="D90" s="951">
        <v>16000</v>
      </c>
      <c r="E90" s="951"/>
      <c r="F90" s="1065"/>
      <c r="G90" s="1059"/>
      <c r="H90" s="951"/>
      <c r="I90" s="1065"/>
      <c r="J90" s="1092">
        <f>D90+G90</f>
        <v>16000</v>
      </c>
      <c r="K90" s="952"/>
      <c r="L90" s="1101"/>
      <c r="M90" s="1059"/>
      <c r="N90" s="951"/>
      <c r="O90" s="1065"/>
      <c r="P90" s="1059">
        <f>J90</f>
        <v>16000</v>
      </c>
      <c r="Q90" s="976"/>
      <c r="R90" s="976"/>
    </row>
    <row r="91" spans="1:28" s="88" customFormat="1" ht="12.75" customHeight="1" x14ac:dyDescent="0.2">
      <c r="A91" s="936" t="s">
        <v>517</v>
      </c>
      <c r="B91" s="912" t="s">
        <v>304</v>
      </c>
      <c r="C91" s="951"/>
      <c r="D91" s="951">
        <v>15000</v>
      </c>
      <c r="E91" s="951"/>
      <c r="F91" s="1065"/>
      <c r="G91" s="1059"/>
      <c r="H91" s="951"/>
      <c r="I91" s="1065"/>
      <c r="J91" s="1092">
        <f>D91+G91</f>
        <v>15000</v>
      </c>
      <c r="K91" s="952"/>
      <c r="L91" s="1101"/>
      <c r="M91" s="1059"/>
      <c r="N91" s="951"/>
      <c r="O91" s="1065"/>
      <c r="P91" s="1059">
        <f>J91</f>
        <v>15000</v>
      </c>
      <c r="Q91" s="976"/>
      <c r="R91" s="976"/>
    </row>
    <row r="92" spans="1:28" s="88" customFormat="1" ht="12.75" customHeight="1" x14ac:dyDescent="0.2">
      <c r="A92" s="936" t="s">
        <v>518</v>
      </c>
      <c r="B92" s="912" t="s">
        <v>1143</v>
      </c>
      <c r="C92" s="951"/>
      <c r="D92" s="951">
        <v>1520</v>
      </c>
      <c r="E92" s="951"/>
      <c r="F92" s="1065"/>
      <c r="G92" s="1059"/>
      <c r="H92" s="951"/>
      <c r="I92" s="1065"/>
      <c r="J92" s="1092">
        <f>D92+G92</f>
        <v>1520</v>
      </c>
      <c r="K92" s="952"/>
      <c r="L92" s="1101"/>
      <c r="M92" s="1059"/>
      <c r="N92" s="951"/>
      <c r="O92" s="1065"/>
      <c r="P92" s="1059">
        <f>J92</f>
        <v>1520</v>
      </c>
      <c r="Q92" s="976"/>
      <c r="R92" s="976"/>
    </row>
    <row r="93" spans="1:28" s="88" customFormat="1" ht="12.75" customHeight="1" x14ac:dyDescent="0.2">
      <c r="A93" s="936" t="s">
        <v>519</v>
      </c>
      <c r="B93" s="912" t="s">
        <v>1237</v>
      </c>
      <c r="C93" s="951"/>
      <c r="D93" s="951">
        <v>300</v>
      </c>
      <c r="E93" s="951"/>
      <c r="F93" s="1065"/>
      <c r="G93" s="1059"/>
      <c r="H93" s="951"/>
      <c r="I93" s="1065"/>
      <c r="J93" s="1092">
        <f>D93+G93</f>
        <v>300</v>
      </c>
      <c r="K93" s="952"/>
      <c r="L93" s="1101"/>
      <c r="M93" s="1059"/>
      <c r="N93" s="951"/>
      <c r="O93" s="1065"/>
      <c r="P93" s="1059">
        <f>J93</f>
        <v>300</v>
      </c>
      <c r="Q93" s="976"/>
      <c r="R93" s="976"/>
    </row>
    <row r="94" spans="1:28" s="88" customFormat="1" ht="12.75" customHeight="1" x14ac:dyDescent="0.2">
      <c r="A94" s="936"/>
      <c r="B94" s="912"/>
      <c r="C94" s="951"/>
      <c r="D94" s="951"/>
      <c r="E94" s="951"/>
      <c r="F94" s="1065"/>
      <c r="G94" s="1059"/>
      <c r="H94" s="951"/>
      <c r="I94" s="1065"/>
      <c r="J94" s="1092"/>
      <c r="K94" s="952"/>
      <c r="L94" s="1101"/>
      <c r="M94" s="1059"/>
      <c r="N94" s="951"/>
      <c r="O94" s="1065"/>
      <c r="P94" s="1059"/>
      <c r="Q94" s="976"/>
      <c r="R94" s="976"/>
    </row>
    <row r="95" spans="1:28" s="88" customFormat="1" ht="12" customHeight="1" thickBot="1" x14ac:dyDescent="0.25">
      <c r="A95" s="1000"/>
      <c r="B95" s="1039"/>
      <c r="C95" s="1011"/>
      <c r="D95" s="1011"/>
      <c r="E95" s="1011"/>
      <c r="F95" s="1079"/>
      <c r="G95" s="1066"/>
      <c r="H95" s="1011"/>
      <c r="I95" s="1079"/>
      <c r="J95" s="1093"/>
      <c r="K95" s="1012"/>
      <c r="L95" s="1109"/>
      <c r="M95" s="1066"/>
      <c r="N95" s="1011"/>
      <c r="O95" s="1079"/>
      <c r="P95" s="1066"/>
      <c r="Q95" s="1040"/>
      <c r="R95" s="1040"/>
    </row>
    <row r="96" spans="1:28" s="80" customFormat="1" ht="13.5" customHeight="1" thickBot="1" x14ac:dyDescent="0.25">
      <c r="A96" s="1036"/>
      <c r="B96" s="1006" t="s">
        <v>532</v>
      </c>
      <c r="C96" s="996"/>
      <c r="D96" s="996">
        <f>SUM(D88:D95)</f>
        <v>66072</v>
      </c>
      <c r="E96" s="996"/>
      <c r="F96" s="1084"/>
      <c r="G96" s="1071">
        <f>SUM(G88:G95)</f>
        <v>0</v>
      </c>
      <c r="H96" s="996"/>
      <c r="I96" s="1084"/>
      <c r="J96" s="1071">
        <f>SUM(J88:J95)</f>
        <v>66072</v>
      </c>
      <c r="K96" s="996"/>
      <c r="L96" s="1084"/>
      <c r="M96" s="1071">
        <f>SUM(M88:M95)</f>
        <v>33252</v>
      </c>
      <c r="N96" s="996"/>
      <c r="O96" s="1084"/>
      <c r="P96" s="1071">
        <f>SUM(P88:P95)</f>
        <v>32820</v>
      </c>
      <c r="Q96" s="998"/>
      <c r="R96" s="1033"/>
    </row>
    <row r="97" spans="1:27" s="80" customFormat="1" ht="12.75" customHeight="1" x14ac:dyDescent="0.2">
      <c r="A97" s="1034"/>
      <c r="B97" s="1031"/>
      <c r="C97" s="990"/>
      <c r="D97" s="990"/>
      <c r="E97" s="990"/>
      <c r="F97" s="1064"/>
      <c r="G97" s="1058"/>
      <c r="H97" s="990"/>
      <c r="I97" s="1064"/>
      <c r="J97" s="1072"/>
      <c r="K97" s="991"/>
      <c r="L97" s="1085"/>
      <c r="M97" s="1104"/>
      <c r="N97" s="1035"/>
      <c r="O97" s="1118"/>
      <c r="P97" s="1104"/>
      <c r="Q97" s="1032"/>
      <c r="R97" s="1032"/>
    </row>
    <row r="98" spans="1:27" ht="12.75" customHeight="1" x14ac:dyDescent="0.2">
      <c r="A98" s="950" t="s">
        <v>536</v>
      </c>
      <c r="B98" s="937" t="s">
        <v>1148</v>
      </c>
      <c r="C98" s="938"/>
      <c r="D98" s="938"/>
      <c r="E98" s="938"/>
      <c r="F98" s="1061"/>
      <c r="G98" s="1055"/>
      <c r="H98" s="938"/>
      <c r="I98" s="1061"/>
      <c r="J98" s="1067"/>
      <c r="K98" s="939"/>
      <c r="L98" s="1080"/>
      <c r="M98" s="1097"/>
      <c r="N98" s="940"/>
      <c r="O98" s="1114"/>
      <c r="P98" s="1097"/>
      <c r="Q98" s="941"/>
      <c r="R98" s="941"/>
    </row>
    <row r="99" spans="1:27" s="88" customFormat="1" ht="21.75" customHeight="1" x14ac:dyDescent="0.2">
      <c r="A99" s="936" t="s">
        <v>526</v>
      </c>
      <c r="B99" s="954" t="s">
        <v>533</v>
      </c>
      <c r="C99" s="938"/>
      <c r="D99" s="938">
        <v>800</v>
      </c>
      <c r="E99" s="938"/>
      <c r="F99" s="1061"/>
      <c r="G99" s="1055"/>
      <c r="H99" s="938"/>
      <c r="I99" s="1061"/>
      <c r="J99" s="1067">
        <f>SUM(D99:G99)</f>
        <v>800</v>
      </c>
      <c r="K99" s="939"/>
      <c r="L99" s="1080"/>
      <c r="M99" s="1105"/>
      <c r="N99" s="977"/>
      <c r="O99" s="1119"/>
      <c r="P99" s="1055">
        <f>J99</f>
        <v>800</v>
      </c>
      <c r="Q99" s="976"/>
      <c r="R99" s="976"/>
    </row>
    <row r="100" spans="1:27" s="88" customFormat="1" ht="21.75" customHeight="1" x14ac:dyDescent="0.2">
      <c r="A100" s="936" t="s">
        <v>705</v>
      </c>
      <c r="B100" s="954" t="s">
        <v>534</v>
      </c>
      <c r="C100" s="938"/>
      <c r="D100" s="938">
        <v>2200</v>
      </c>
      <c r="E100" s="938"/>
      <c r="F100" s="1061"/>
      <c r="G100" s="1055"/>
      <c r="H100" s="938"/>
      <c r="I100" s="1061"/>
      <c r="J100" s="1067">
        <f>SUM(D100:G100)</f>
        <v>2200</v>
      </c>
      <c r="K100" s="939"/>
      <c r="L100" s="1080"/>
      <c r="M100" s="1105"/>
      <c r="N100" s="977"/>
      <c r="O100" s="1119"/>
      <c r="P100" s="1055">
        <f>J100</f>
        <v>2200</v>
      </c>
      <c r="Q100" s="976"/>
      <c r="R100" s="976"/>
      <c r="U100" s="695"/>
    </row>
    <row r="101" spans="1:27" s="88" customFormat="1" ht="12" customHeight="1" thickBot="1" x14ac:dyDescent="0.25">
      <c r="A101" s="1000"/>
      <c r="B101" s="1001"/>
      <c r="C101" s="986"/>
      <c r="D101" s="986"/>
      <c r="E101" s="986"/>
      <c r="F101" s="1086"/>
      <c r="G101" s="1073"/>
      <c r="H101" s="986"/>
      <c r="I101" s="1086"/>
      <c r="J101" s="1075"/>
      <c r="K101" s="1029"/>
      <c r="L101" s="1088"/>
      <c r="M101" s="1106"/>
      <c r="N101" s="1041"/>
      <c r="O101" s="1120"/>
      <c r="P101" s="1073"/>
      <c r="Q101" s="1040"/>
      <c r="R101" s="1040"/>
    </row>
    <row r="102" spans="1:27" s="80" customFormat="1" ht="21.75" customHeight="1" thickBot="1" x14ac:dyDescent="0.25">
      <c r="A102" s="1036"/>
      <c r="B102" s="1006" t="s">
        <v>535</v>
      </c>
      <c r="C102" s="996"/>
      <c r="D102" s="996">
        <f>SUM(D98:D100)</f>
        <v>3000</v>
      </c>
      <c r="E102" s="996"/>
      <c r="F102" s="1084"/>
      <c r="G102" s="1071">
        <f>SUM(G98:G100)</f>
        <v>0</v>
      </c>
      <c r="H102" s="996"/>
      <c r="I102" s="1084"/>
      <c r="J102" s="1071">
        <f>SUM(J98:J100)</f>
        <v>3000</v>
      </c>
      <c r="K102" s="996"/>
      <c r="L102" s="1084"/>
      <c r="M102" s="1071">
        <f>SUM(M98:M100)</f>
        <v>0</v>
      </c>
      <c r="N102" s="996"/>
      <c r="O102" s="1084"/>
      <c r="P102" s="1071">
        <f>SUM(P98:P100)</f>
        <v>3000</v>
      </c>
      <c r="Q102" s="998"/>
      <c r="R102" s="1033"/>
    </row>
    <row r="103" spans="1:27" s="80" customFormat="1" ht="13.5" customHeight="1" x14ac:dyDescent="0.2">
      <c r="A103" s="1034"/>
      <c r="B103" s="1031"/>
      <c r="C103" s="991"/>
      <c r="D103" s="991"/>
      <c r="E103" s="991"/>
      <c r="F103" s="1085"/>
      <c r="G103" s="1072"/>
      <c r="H103" s="991"/>
      <c r="I103" s="1085"/>
      <c r="J103" s="1072"/>
      <c r="K103" s="991"/>
      <c r="L103" s="1085"/>
      <c r="M103" s="1072"/>
      <c r="N103" s="991"/>
      <c r="O103" s="1085"/>
      <c r="P103" s="1072"/>
      <c r="Q103" s="1032"/>
      <c r="R103" s="1032"/>
    </row>
    <row r="104" spans="1:27" s="80" customFormat="1" ht="13.5" customHeight="1" thickBot="1" x14ac:dyDescent="0.25">
      <c r="A104" s="1000"/>
      <c r="B104" s="1038"/>
      <c r="C104" s="1029"/>
      <c r="D104" s="1029"/>
      <c r="E104" s="1029"/>
      <c r="F104" s="1088"/>
      <c r="G104" s="1075"/>
      <c r="H104" s="1029"/>
      <c r="I104" s="1088"/>
      <c r="J104" s="1075"/>
      <c r="K104" s="1029"/>
      <c r="L104" s="1088"/>
      <c r="M104" s="1056"/>
      <c r="N104" s="984"/>
      <c r="O104" s="1062"/>
      <c r="P104" s="1056"/>
      <c r="Q104" s="1030"/>
      <c r="R104" s="1030"/>
    </row>
    <row r="105" spans="1:27" s="80" customFormat="1" ht="13.5" customHeight="1" thickBot="1" x14ac:dyDescent="0.25">
      <c r="A105" s="1036"/>
      <c r="B105" s="1006" t="s">
        <v>187</v>
      </c>
      <c r="C105" s="996"/>
      <c r="D105" s="996">
        <f>D15+D21+D51+D64+D69+D79+D84+D96+D102</f>
        <v>1761104</v>
      </c>
      <c r="E105" s="996"/>
      <c r="F105" s="1084"/>
      <c r="G105" s="1071">
        <f>G15+G21+G51+G64+G69+G79+G84+G96+G102</f>
        <v>454195</v>
      </c>
      <c r="H105" s="996"/>
      <c r="I105" s="1084"/>
      <c r="J105" s="1071">
        <f>J15+J21+J51+J64+J69+J79+J84+J96+J102</f>
        <v>2215299</v>
      </c>
      <c r="K105" s="996"/>
      <c r="L105" s="1084"/>
      <c r="M105" s="1071">
        <f>M15+M21+M51+M64+M69+M79+M84+M96+M102</f>
        <v>2036711</v>
      </c>
      <c r="N105" s="996"/>
      <c r="O105" s="1084"/>
      <c r="P105" s="1071">
        <f>P15+P21+P51+P64+P69+P79+P84+P96+P102</f>
        <v>178588</v>
      </c>
      <c r="Q105" s="998"/>
      <c r="R105" s="1033"/>
    </row>
    <row r="106" spans="1:27" s="80" customFormat="1" ht="13.5" customHeight="1" x14ac:dyDescent="0.2">
      <c r="A106" s="1034"/>
      <c r="B106" s="1031"/>
      <c r="C106" s="991"/>
      <c r="D106" s="991"/>
      <c r="E106" s="991"/>
      <c r="F106" s="1085"/>
      <c r="G106" s="1072"/>
      <c r="H106" s="991"/>
      <c r="I106" s="1085"/>
      <c r="J106" s="1072"/>
      <c r="K106" s="991"/>
      <c r="L106" s="1085"/>
      <c r="M106" s="1104"/>
      <c r="N106" s="1035"/>
      <c r="O106" s="1118"/>
      <c r="P106" s="1104"/>
      <c r="Q106" s="1032"/>
      <c r="R106" s="1032"/>
    </row>
    <row r="107" spans="1:27" s="89" customFormat="1" ht="13.5" customHeight="1" x14ac:dyDescent="0.15">
      <c r="A107" s="936"/>
      <c r="B107" s="937"/>
      <c r="C107" s="939"/>
      <c r="D107" s="939"/>
      <c r="E107" s="939"/>
      <c r="F107" s="1080"/>
      <c r="G107" s="1067"/>
      <c r="H107" s="939"/>
      <c r="I107" s="1080"/>
      <c r="J107" s="1067"/>
      <c r="K107" s="939"/>
      <c r="L107" s="1080"/>
      <c r="M107" s="1107"/>
      <c r="N107" s="946"/>
      <c r="O107" s="1121"/>
      <c r="P107" s="1107"/>
      <c r="Q107" s="978"/>
      <c r="R107" s="978"/>
    </row>
    <row r="108" spans="1:27" s="89" customFormat="1" ht="15.75" customHeight="1" x14ac:dyDescent="0.15">
      <c r="A108" s="950" t="s">
        <v>539</v>
      </c>
      <c r="B108" s="937" t="s">
        <v>537</v>
      </c>
      <c r="C108" s="939"/>
      <c r="D108" s="939"/>
      <c r="E108" s="939"/>
      <c r="F108" s="1080"/>
      <c r="G108" s="1067"/>
      <c r="H108" s="939"/>
      <c r="I108" s="1080"/>
      <c r="J108" s="1067"/>
      <c r="K108" s="939"/>
      <c r="L108" s="1080"/>
      <c r="M108" s="1107"/>
      <c r="N108" s="946"/>
      <c r="O108" s="1121"/>
      <c r="P108" s="1107"/>
      <c r="Q108" s="978"/>
      <c r="R108" s="978"/>
    </row>
    <row r="109" spans="1:27" s="602" customFormat="1" ht="21.75" customHeight="1" x14ac:dyDescent="0.2">
      <c r="A109" s="936" t="s">
        <v>507</v>
      </c>
      <c r="B109" s="954" t="s">
        <v>1210</v>
      </c>
      <c r="C109" s="944" t="s">
        <v>326</v>
      </c>
      <c r="D109" s="951">
        <f>3980+2362</f>
        <v>6342</v>
      </c>
      <c r="E109" s="951"/>
      <c r="F109" s="1065"/>
      <c r="G109" s="1059">
        <f>1075+638</f>
        <v>1713</v>
      </c>
      <c r="H109" s="951"/>
      <c r="I109" s="1065"/>
      <c r="J109" s="1092">
        <f>SUM(D109:G109)</f>
        <v>8055</v>
      </c>
      <c r="K109" s="952"/>
      <c r="L109" s="1101"/>
      <c r="M109" s="1059">
        <f>1905+3000</f>
        <v>4905</v>
      </c>
      <c r="N109" s="951"/>
      <c r="O109" s="1065"/>
      <c r="P109" s="1059">
        <v>3150</v>
      </c>
      <c r="Q109" s="979"/>
      <c r="R109" s="979"/>
    </row>
    <row r="110" spans="1:27" s="89" customFormat="1" ht="21.75" customHeight="1" x14ac:dyDescent="0.2">
      <c r="A110" s="936" t="s">
        <v>515</v>
      </c>
      <c r="B110" s="954" t="s">
        <v>1035</v>
      </c>
      <c r="C110" s="944" t="s">
        <v>326</v>
      </c>
      <c r="D110" s="944">
        <v>3000</v>
      </c>
      <c r="E110" s="944"/>
      <c r="F110" s="1082"/>
      <c r="G110" s="1069">
        <v>185</v>
      </c>
      <c r="H110" s="944"/>
      <c r="I110" s="1082"/>
      <c r="J110" s="1095">
        <f>SUM(D110:G110)</f>
        <v>3185</v>
      </c>
      <c r="K110" s="974"/>
      <c r="L110" s="1111"/>
      <c r="M110" s="1092"/>
      <c r="N110" s="952"/>
      <c r="O110" s="1101"/>
      <c r="P110" s="1103">
        <f>J110</f>
        <v>3185</v>
      </c>
      <c r="Q110" s="978"/>
      <c r="R110" s="978"/>
      <c r="AA110" s="432"/>
    </row>
    <row r="111" spans="1:27" s="89" customFormat="1" ht="22.15" customHeight="1" x14ac:dyDescent="0.15">
      <c r="A111" s="936" t="s">
        <v>516</v>
      </c>
      <c r="B111" s="954" t="s">
        <v>1128</v>
      </c>
      <c r="C111" s="944" t="s">
        <v>326</v>
      </c>
      <c r="D111" s="944">
        <v>1000</v>
      </c>
      <c r="E111" s="944"/>
      <c r="F111" s="1082"/>
      <c r="G111" s="1069">
        <f>D111*0.27</f>
        <v>270</v>
      </c>
      <c r="H111" s="944"/>
      <c r="I111" s="1082"/>
      <c r="J111" s="1095">
        <f>SUM(D111:G111)</f>
        <v>1270</v>
      </c>
      <c r="K111" s="974"/>
      <c r="L111" s="1111"/>
      <c r="M111" s="1059">
        <v>1270</v>
      </c>
      <c r="N111" s="951"/>
      <c r="O111" s="1065"/>
      <c r="P111" s="1059"/>
      <c r="Q111" s="978"/>
      <c r="R111" s="978"/>
    </row>
    <row r="112" spans="1:27" s="89" customFormat="1" ht="22.15" customHeight="1" x14ac:dyDescent="0.15">
      <c r="A112" s="936"/>
      <c r="B112" s="954"/>
      <c r="C112" s="944"/>
      <c r="D112" s="944"/>
      <c r="E112" s="944"/>
      <c r="F112" s="1082"/>
      <c r="G112" s="1069"/>
      <c r="H112" s="944"/>
      <c r="I112" s="1082"/>
      <c r="J112" s="1095"/>
      <c r="K112" s="974"/>
      <c r="L112" s="1111"/>
      <c r="M112" s="1059"/>
      <c r="N112" s="951"/>
      <c r="O112" s="1065"/>
      <c r="P112" s="1059"/>
      <c r="Q112" s="978"/>
      <c r="R112" s="978"/>
    </row>
    <row r="113" spans="1:18" s="89" customFormat="1" ht="12.75" customHeight="1" thickBot="1" x14ac:dyDescent="0.2">
      <c r="A113" s="1000"/>
      <c r="B113" s="1001"/>
      <c r="C113" s="983"/>
      <c r="D113" s="983"/>
      <c r="E113" s="983"/>
      <c r="F113" s="1083"/>
      <c r="G113" s="1070"/>
      <c r="H113" s="983"/>
      <c r="I113" s="1083"/>
      <c r="J113" s="1096"/>
      <c r="K113" s="1020"/>
      <c r="L113" s="1112"/>
      <c r="M113" s="1066"/>
      <c r="N113" s="1011"/>
      <c r="O113" s="1079"/>
      <c r="P113" s="1066"/>
      <c r="Q113" s="1042"/>
      <c r="R113" s="1042"/>
    </row>
    <row r="114" spans="1:18" s="89" customFormat="1" ht="21.75" customHeight="1" thickBot="1" x14ac:dyDescent="0.2">
      <c r="A114" s="1036"/>
      <c r="B114" s="1006" t="s">
        <v>538</v>
      </c>
      <c r="C114" s="996"/>
      <c r="D114" s="1045">
        <f>SUM(D109:D111)</f>
        <v>10342</v>
      </c>
      <c r="E114" s="1045"/>
      <c r="F114" s="1089"/>
      <c r="G114" s="1076">
        <f t="shared" ref="G114:J114" si="11">SUM(G109:G111)</f>
        <v>2168</v>
      </c>
      <c r="H114" s="1045"/>
      <c r="I114" s="1089"/>
      <c r="J114" s="1076">
        <f t="shared" si="11"/>
        <v>12510</v>
      </c>
      <c r="K114" s="1045"/>
      <c r="L114" s="1089"/>
      <c r="M114" s="1076">
        <f t="shared" ref="M114" si="12">SUM(M109:M111)</f>
        <v>6175</v>
      </c>
      <c r="N114" s="1045"/>
      <c r="O114" s="1089"/>
      <c r="P114" s="1076">
        <f t="shared" ref="P114" si="13">SUM(P109:P111)</f>
        <v>6335</v>
      </c>
      <c r="Q114" s="1046"/>
      <c r="R114" s="1047"/>
    </row>
    <row r="115" spans="1:18" s="89" customFormat="1" ht="13.5" customHeight="1" x14ac:dyDescent="0.15">
      <c r="A115" s="1034"/>
      <c r="B115" s="1031"/>
      <c r="C115" s="991"/>
      <c r="D115" s="991"/>
      <c r="E115" s="991"/>
      <c r="F115" s="1085"/>
      <c r="G115" s="1072"/>
      <c r="H115" s="991"/>
      <c r="I115" s="1085"/>
      <c r="J115" s="1072"/>
      <c r="K115" s="991"/>
      <c r="L115" s="1085"/>
      <c r="M115" s="1108"/>
      <c r="N115" s="1043"/>
      <c r="O115" s="1122"/>
      <c r="P115" s="1108"/>
      <c r="Q115" s="1044"/>
      <c r="R115" s="1044"/>
    </row>
    <row r="116" spans="1:18" s="89" customFormat="1" ht="13.5" customHeight="1" x14ac:dyDescent="0.15">
      <c r="A116" s="950" t="s">
        <v>188</v>
      </c>
      <c r="B116" s="937" t="s">
        <v>76</v>
      </c>
      <c r="C116" s="939"/>
      <c r="D116" s="939"/>
      <c r="E116" s="939"/>
      <c r="F116" s="1080"/>
      <c r="G116" s="1067"/>
      <c r="H116" s="939"/>
      <c r="I116" s="1080"/>
      <c r="J116" s="1067"/>
      <c r="K116" s="939"/>
      <c r="L116" s="1080"/>
      <c r="M116" s="1107"/>
      <c r="N116" s="946"/>
      <c r="O116" s="1121"/>
      <c r="P116" s="1107"/>
      <c r="Q116" s="978"/>
      <c r="R116" s="978"/>
    </row>
    <row r="117" spans="1:18" s="80" customFormat="1" ht="21.75" customHeight="1" x14ac:dyDescent="0.2">
      <c r="A117" s="936" t="s">
        <v>507</v>
      </c>
      <c r="B117" s="954" t="s">
        <v>328</v>
      </c>
      <c r="C117" s="944" t="s">
        <v>329</v>
      </c>
      <c r="D117" s="944">
        <v>4725</v>
      </c>
      <c r="E117" s="944"/>
      <c r="F117" s="1082"/>
      <c r="G117" s="1069">
        <v>1275</v>
      </c>
      <c r="H117" s="944"/>
      <c r="I117" s="1082"/>
      <c r="J117" s="1095">
        <f>SUM(D117:G117)</f>
        <v>6000</v>
      </c>
      <c r="K117" s="974"/>
      <c r="L117" s="1111"/>
      <c r="M117" s="1059">
        <v>6000</v>
      </c>
      <c r="N117" s="951"/>
      <c r="O117" s="1065"/>
      <c r="P117" s="1059"/>
      <c r="Q117" s="949"/>
      <c r="R117" s="949"/>
    </row>
    <row r="118" spans="1:18" s="80" customFormat="1" ht="12.75" customHeight="1" thickBot="1" x14ac:dyDescent="0.25">
      <c r="A118" s="1000"/>
      <c r="B118" s="1001"/>
      <c r="C118" s="983"/>
      <c r="D118" s="983"/>
      <c r="E118" s="983"/>
      <c r="F118" s="1083"/>
      <c r="G118" s="1070"/>
      <c r="H118" s="983"/>
      <c r="I118" s="1083"/>
      <c r="J118" s="1096"/>
      <c r="K118" s="1020"/>
      <c r="L118" s="1112"/>
      <c r="M118" s="1066"/>
      <c r="N118" s="1011"/>
      <c r="O118" s="1079"/>
      <c r="P118" s="1066"/>
      <c r="Q118" s="1030"/>
      <c r="R118" s="1030"/>
    </row>
    <row r="119" spans="1:18" s="80" customFormat="1" ht="21.75" customHeight="1" thickBot="1" x14ac:dyDescent="0.25">
      <c r="A119" s="1036"/>
      <c r="B119" s="1006" t="s">
        <v>75</v>
      </c>
      <c r="C119" s="1049"/>
      <c r="D119" s="1049">
        <f>SUM(D117:D118)</f>
        <v>4725</v>
      </c>
      <c r="E119" s="1049"/>
      <c r="F119" s="1090"/>
      <c r="G119" s="1077">
        <f>SUM(G117:G118)</f>
        <v>1275</v>
      </c>
      <c r="H119" s="1049"/>
      <c r="I119" s="1090"/>
      <c r="J119" s="1077">
        <f>SUM(J117:J118)</f>
        <v>6000</v>
      </c>
      <c r="K119" s="1049"/>
      <c r="L119" s="1090"/>
      <c r="M119" s="1077">
        <f>SUM(M117:M118)</f>
        <v>6000</v>
      </c>
      <c r="N119" s="1049"/>
      <c r="O119" s="1090"/>
      <c r="P119" s="1077">
        <f>SUM(P117:P118)</f>
        <v>0</v>
      </c>
      <c r="Q119" s="998"/>
      <c r="R119" s="1033"/>
    </row>
    <row r="120" spans="1:18" s="80" customFormat="1" ht="13.5" customHeight="1" x14ac:dyDescent="0.2">
      <c r="A120" s="1034"/>
      <c r="B120" s="1048"/>
      <c r="C120" s="990"/>
      <c r="D120" s="990"/>
      <c r="E120" s="990"/>
      <c r="F120" s="1064"/>
      <c r="G120" s="1058"/>
      <c r="H120" s="990"/>
      <c r="I120" s="1064"/>
      <c r="J120" s="1058"/>
      <c r="K120" s="990"/>
      <c r="L120" s="1064"/>
      <c r="M120" s="1104"/>
      <c r="N120" s="1035"/>
      <c r="O120" s="1118"/>
      <c r="P120" s="1104"/>
      <c r="Q120" s="1032"/>
      <c r="R120" s="1032"/>
    </row>
    <row r="121" spans="1:18" s="89" customFormat="1" ht="26.45" customHeight="1" x14ac:dyDescent="0.2">
      <c r="A121" s="936"/>
      <c r="B121" s="937" t="s">
        <v>1002</v>
      </c>
      <c r="C121" s="939"/>
      <c r="D121" s="938"/>
      <c r="E121" s="938"/>
      <c r="F121" s="1061"/>
      <c r="G121" s="1055"/>
      <c r="H121" s="938"/>
      <c r="I121" s="1061"/>
      <c r="J121" s="1067"/>
      <c r="K121" s="939"/>
      <c r="L121" s="1080"/>
      <c r="M121" s="1107"/>
      <c r="N121" s="946"/>
      <c r="O121" s="1121"/>
      <c r="P121" s="1107"/>
      <c r="Q121" s="978"/>
      <c r="R121" s="978"/>
    </row>
    <row r="122" spans="1:18" s="89" customFormat="1" ht="33" customHeight="1" x14ac:dyDescent="0.15">
      <c r="A122" s="936" t="s">
        <v>507</v>
      </c>
      <c r="B122" s="980" t="s">
        <v>1114</v>
      </c>
      <c r="C122" s="944" t="s">
        <v>326</v>
      </c>
      <c r="D122" s="951">
        <v>3070</v>
      </c>
      <c r="E122" s="951"/>
      <c r="F122" s="1065"/>
      <c r="G122" s="1059">
        <v>830</v>
      </c>
      <c r="H122" s="951"/>
      <c r="I122" s="1065"/>
      <c r="J122" s="1092">
        <f>SUM(D122:G122)</f>
        <v>3900</v>
      </c>
      <c r="K122" s="952"/>
      <c r="L122" s="1101"/>
      <c r="M122" s="1092"/>
      <c r="N122" s="952"/>
      <c r="O122" s="1101"/>
      <c r="P122" s="1059">
        <f>J122</f>
        <v>3900</v>
      </c>
      <c r="Q122" s="978"/>
      <c r="R122" s="978"/>
    </row>
    <row r="123" spans="1:18" s="89" customFormat="1" ht="33" customHeight="1" x14ac:dyDescent="0.15">
      <c r="A123" s="936" t="s">
        <v>515</v>
      </c>
      <c r="B123" s="980" t="s">
        <v>1238</v>
      </c>
      <c r="C123" s="944" t="s">
        <v>326</v>
      </c>
      <c r="D123" s="951">
        <v>2732</v>
      </c>
      <c r="E123" s="951"/>
      <c r="F123" s="1065"/>
      <c r="G123" s="1059">
        <v>738</v>
      </c>
      <c r="H123" s="951"/>
      <c r="I123" s="1065"/>
      <c r="J123" s="1092">
        <f>SUM(D123:G123)</f>
        <v>3470</v>
      </c>
      <c r="K123" s="952"/>
      <c r="L123" s="1101"/>
      <c r="M123" s="1092"/>
      <c r="N123" s="952"/>
      <c r="O123" s="1101"/>
      <c r="P123" s="1059">
        <f>J123</f>
        <v>3470</v>
      </c>
      <c r="Q123" s="978"/>
      <c r="R123" s="978"/>
    </row>
    <row r="124" spans="1:18" s="89" customFormat="1" ht="12" customHeight="1" thickBot="1" x14ac:dyDescent="0.25">
      <c r="A124" s="1000"/>
      <c r="B124" s="1050"/>
      <c r="C124" s="1051"/>
      <c r="D124" s="984"/>
      <c r="E124" s="984"/>
      <c r="F124" s="1062"/>
      <c r="G124" s="1056"/>
      <c r="H124" s="984"/>
      <c r="I124" s="1062"/>
      <c r="J124" s="1056"/>
      <c r="K124" s="984"/>
      <c r="L124" s="1062"/>
      <c r="M124" s="1091"/>
      <c r="N124" s="985"/>
      <c r="O124" s="1100"/>
      <c r="P124" s="1056"/>
      <c r="Q124" s="1042"/>
      <c r="R124" s="1042"/>
    </row>
    <row r="125" spans="1:18" s="89" customFormat="1" ht="21.75" customHeight="1" thickBot="1" x14ac:dyDescent="0.2">
      <c r="A125" s="1005"/>
      <c r="B125" s="1006" t="s">
        <v>1001</v>
      </c>
      <c r="C125" s="1049"/>
      <c r="D125" s="1049">
        <f>SUM(D122:D124)</f>
        <v>5802</v>
      </c>
      <c r="E125" s="1049"/>
      <c r="F125" s="1090"/>
      <c r="G125" s="1077">
        <f>SUM(G122:G124)</f>
        <v>1568</v>
      </c>
      <c r="H125" s="1049"/>
      <c r="I125" s="1090"/>
      <c r="J125" s="1077">
        <f>SUM(J122:J124)</f>
        <v>7370</v>
      </c>
      <c r="K125" s="1049"/>
      <c r="L125" s="1090"/>
      <c r="M125" s="1077">
        <f>SUM(M122:M124)</f>
        <v>0</v>
      </c>
      <c r="N125" s="1049"/>
      <c r="O125" s="1090"/>
      <c r="P125" s="1077">
        <f>SUM(P122:P124)</f>
        <v>7370</v>
      </c>
      <c r="Q125" s="1046"/>
      <c r="R125" s="1047"/>
    </row>
    <row r="126" spans="1:18" s="89" customFormat="1" ht="13.5" customHeight="1" x14ac:dyDescent="0.15">
      <c r="A126" s="988"/>
      <c r="B126" s="1031"/>
      <c r="C126" s="991"/>
      <c r="D126" s="991"/>
      <c r="E126" s="991"/>
      <c r="F126" s="1085"/>
      <c r="G126" s="1072"/>
      <c r="H126" s="991"/>
      <c r="I126" s="1085"/>
      <c r="J126" s="1072"/>
      <c r="K126" s="991"/>
      <c r="L126" s="1085"/>
      <c r="M126" s="1072"/>
      <c r="N126" s="991"/>
      <c r="O126" s="1085"/>
      <c r="P126" s="1072"/>
      <c r="Q126" s="1044"/>
      <c r="R126" s="1044"/>
    </row>
    <row r="127" spans="1:18" s="89" customFormat="1" ht="13.5" customHeight="1" x14ac:dyDescent="0.15">
      <c r="A127" s="950"/>
      <c r="B127" s="937" t="s">
        <v>734</v>
      </c>
      <c r="C127" s="939"/>
      <c r="D127" s="939"/>
      <c r="E127" s="939"/>
      <c r="F127" s="1080"/>
      <c r="G127" s="1067"/>
      <c r="H127" s="939"/>
      <c r="I127" s="1080"/>
      <c r="J127" s="1067"/>
      <c r="K127" s="939"/>
      <c r="L127" s="1080"/>
      <c r="M127" s="1067"/>
      <c r="N127" s="939"/>
      <c r="O127" s="1080"/>
      <c r="P127" s="1067"/>
      <c r="Q127" s="978"/>
      <c r="R127" s="978"/>
    </row>
    <row r="128" spans="1:18" s="602" customFormat="1" ht="26.25" customHeight="1" x14ac:dyDescent="0.2">
      <c r="A128" s="936" t="s">
        <v>507</v>
      </c>
      <c r="B128" s="980" t="s">
        <v>1147</v>
      </c>
      <c r="C128" s="944" t="s">
        <v>326</v>
      </c>
      <c r="D128" s="951">
        <v>4000</v>
      </c>
      <c r="E128" s="951"/>
      <c r="F128" s="1065"/>
      <c r="G128" s="1059">
        <v>1080</v>
      </c>
      <c r="H128" s="951"/>
      <c r="I128" s="1065"/>
      <c r="J128" s="1092">
        <f>SUM(D128:G128)</f>
        <v>5080</v>
      </c>
      <c r="K128" s="952"/>
      <c r="L128" s="1101"/>
      <c r="M128" s="1059">
        <f>J128</f>
        <v>5080</v>
      </c>
      <c r="N128" s="951"/>
      <c r="O128" s="1065"/>
      <c r="P128" s="1095"/>
      <c r="Q128" s="979"/>
      <c r="R128" s="979"/>
    </row>
    <row r="129" spans="1:22" s="602" customFormat="1" ht="33" customHeight="1" x14ac:dyDescent="0.2">
      <c r="A129" s="936" t="s">
        <v>515</v>
      </c>
      <c r="B129" s="954" t="s">
        <v>1291</v>
      </c>
      <c r="C129" s="944" t="s">
        <v>326</v>
      </c>
      <c r="D129" s="944">
        <v>2205</v>
      </c>
      <c r="E129" s="944"/>
      <c r="F129" s="1082"/>
      <c r="G129" s="1069">
        <v>595</v>
      </c>
      <c r="H129" s="944"/>
      <c r="I129" s="1082"/>
      <c r="J129" s="1095">
        <f>SUM(D129:G129)</f>
        <v>2800</v>
      </c>
      <c r="K129" s="974"/>
      <c r="L129" s="1111"/>
      <c r="M129" s="1069">
        <v>2800</v>
      </c>
      <c r="N129" s="944"/>
      <c r="O129" s="1082"/>
      <c r="P129" s="1069"/>
      <c r="Q129" s="979"/>
      <c r="R129" s="979"/>
    </row>
    <row r="130" spans="1:22" s="602" customFormat="1" ht="21.75" customHeight="1" x14ac:dyDescent="0.2">
      <c r="A130" s="936" t="s">
        <v>516</v>
      </c>
      <c r="B130" s="954" t="s">
        <v>1146</v>
      </c>
      <c r="C130" s="944" t="s">
        <v>326</v>
      </c>
      <c r="D130" s="944">
        <v>787</v>
      </c>
      <c r="E130" s="944"/>
      <c r="F130" s="1082"/>
      <c r="G130" s="1069">
        <v>213</v>
      </c>
      <c r="H130" s="944"/>
      <c r="I130" s="1082"/>
      <c r="J130" s="1095">
        <f>SUM(D130:G130)</f>
        <v>1000</v>
      </c>
      <c r="K130" s="974"/>
      <c r="L130" s="1111"/>
      <c r="M130" s="1069">
        <v>1000</v>
      </c>
      <c r="N130" s="944"/>
      <c r="O130" s="1082"/>
      <c r="P130" s="1069"/>
      <c r="Q130" s="979"/>
      <c r="R130" s="979"/>
    </row>
    <row r="131" spans="1:22" s="602" customFormat="1" ht="21.75" customHeight="1" x14ac:dyDescent="0.2">
      <c r="A131" s="936"/>
      <c r="B131" s="954"/>
      <c r="C131" s="944"/>
      <c r="D131" s="944"/>
      <c r="E131" s="944"/>
      <c r="F131" s="1082"/>
      <c r="G131" s="1069"/>
      <c r="H131" s="944"/>
      <c r="I131" s="1082"/>
      <c r="J131" s="1095"/>
      <c r="K131" s="974"/>
      <c r="L131" s="1111"/>
      <c r="M131" s="1069"/>
      <c r="N131" s="944"/>
      <c r="O131" s="1082"/>
      <c r="P131" s="1069"/>
      <c r="Q131" s="979"/>
      <c r="R131" s="979"/>
    </row>
    <row r="132" spans="1:22" s="602" customFormat="1" ht="11.25" customHeight="1" thickBot="1" x14ac:dyDescent="0.25">
      <c r="A132" s="1000"/>
      <c r="B132" s="1001"/>
      <c r="C132" s="983"/>
      <c r="D132" s="983"/>
      <c r="E132" s="983"/>
      <c r="F132" s="1083"/>
      <c r="G132" s="1070"/>
      <c r="H132" s="983"/>
      <c r="I132" s="1083"/>
      <c r="J132" s="1096"/>
      <c r="K132" s="1020"/>
      <c r="L132" s="1112"/>
      <c r="M132" s="1070"/>
      <c r="N132" s="983"/>
      <c r="O132" s="1083"/>
      <c r="P132" s="1070"/>
      <c r="Q132" s="1052"/>
      <c r="R132" s="1052"/>
    </row>
    <row r="133" spans="1:22" s="89" customFormat="1" ht="21.75" customHeight="1" thickBot="1" x14ac:dyDescent="0.2">
      <c r="A133" s="1005"/>
      <c r="B133" s="1006" t="s">
        <v>16</v>
      </c>
      <c r="C133" s="1049"/>
      <c r="D133" s="1049">
        <f>SUM(D128:D130)</f>
        <v>6992</v>
      </c>
      <c r="E133" s="1049"/>
      <c r="F133" s="1090"/>
      <c r="G133" s="1077">
        <f>SUM(G128:G130)</f>
        <v>1888</v>
      </c>
      <c r="H133" s="1049"/>
      <c r="I133" s="1090"/>
      <c r="J133" s="1077">
        <f>SUM(J128:J130)</f>
        <v>8880</v>
      </c>
      <c r="K133" s="1049"/>
      <c r="L133" s="1090"/>
      <c r="M133" s="1077">
        <f>SUM(M128:M130)</f>
        <v>8880</v>
      </c>
      <c r="N133" s="1049"/>
      <c r="O133" s="1090"/>
      <c r="P133" s="1077">
        <f>SUM(P128:P130)</f>
        <v>0</v>
      </c>
      <c r="Q133" s="1046"/>
      <c r="R133" s="1047"/>
    </row>
    <row r="134" spans="1:22" s="89" customFormat="1" ht="13.5" customHeight="1" x14ac:dyDescent="0.15">
      <c r="A134" s="988"/>
      <c r="B134" s="1031"/>
      <c r="C134" s="991"/>
      <c r="D134" s="991"/>
      <c r="E134" s="991"/>
      <c r="F134" s="1085"/>
      <c r="G134" s="1072"/>
      <c r="H134" s="991"/>
      <c r="I134" s="1085"/>
      <c r="J134" s="1072"/>
      <c r="K134" s="991"/>
      <c r="L134" s="1085"/>
      <c r="M134" s="1072"/>
      <c r="N134" s="991"/>
      <c r="O134" s="1085"/>
      <c r="P134" s="1072"/>
      <c r="Q134" s="1044"/>
      <c r="R134" s="1044"/>
    </row>
    <row r="135" spans="1:22" s="89" customFormat="1" ht="13.5" customHeight="1" x14ac:dyDescent="0.15">
      <c r="A135" s="950"/>
      <c r="B135" s="937" t="s">
        <v>199</v>
      </c>
      <c r="C135" s="939"/>
      <c r="D135" s="939"/>
      <c r="E135" s="939"/>
      <c r="F135" s="1080"/>
      <c r="G135" s="1067"/>
      <c r="H135" s="939"/>
      <c r="I135" s="1080"/>
      <c r="J135" s="1067"/>
      <c r="K135" s="939"/>
      <c r="L135" s="1080"/>
      <c r="M135" s="1067"/>
      <c r="N135" s="939"/>
      <c r="O135" s="1080"/>
      <c r="P135" s="1067"/>
      <c r="Q135" s="978"/>
      <c r="R135" s="978"/>
    </row>
    <row r="136" spans="1:22" s="602" customFormat="1" ht="21.75" customHeight="1" x14ac:dyDescent="0.2">
      <c r="A136" s="936" t="s">
        <v>507</v>
      </c>
      <c r="B136" s="954" t="s">
        <v>198</v>
      </c>
      <c r="C136" s="944" t="s">
        <v>326</v>
      </c>
      <c r="D136" s="944">
        <v>394</v>
      </c>
      <c r="E136" s="944"/>
      <c r="F136" s="1082"/>
      <c r="G136" s="1069">
        <v>106</v>
      </c>
      <c r="H136" s="944"/>
      <c r="I136" s="1082"/>
      <c r="J136" s="1095">
        <v>500</v>
      </c>
      <c r="K136" s="974"/>
      <c r="L136" s="1111"/>
      <c r="M136" s="1069">
        <v>500</v>
      </c>
      <c r="N136" s="944"/>
      <c r="O136" s="1082"/>
      <c r="P136" s="1095"/>
      <c r="Q136" s="979"/>
      <c r="R136" s="979"/>
    </row>
    <row r="137" spans="1:22" s="602" customFormat="1" ht="21.75" customHeight="1" x14ac:dyDescent="0.2">
      <c r="A137" s="936" t="s">
        <v>515</v>
      </c>
      <c r="B137" s="954" t="s">
        <v>1113</v>
      </c>
      <c r="C137" s="944" t="s">
        <v>326</v>
      </c>
      <c r="D137" s="944">
        <v>709</v>
      </c>
      <c r="E137" s="944"/>
      <c r="F137" s="1082"/>
      <c r="G137" s="1069">
        <v>191</v>
      </c>
      <c r="H137" s="944"/>
      <c r="I137" s="1082"/>
      <c r="J137" s="1095">
        <f>SUM(D137:G137)</f>
        <v>900</v>
      </c>
      <c r="K137" s="974"/>
      <c r="L137" s="1111"/>
      <c r="M137" s="1069">
        <v>900</v>
      </c>
      <c r="N137" s="944"/>
      <c r="O137" s="1082"/>
      <c r="P137" s="1095"/>
      <c r="Q137" s="979"/>
      <c r="R137" s="979"/>
    </row>
    <row r="138" spans="1:22" s="602" customFormat="1" ht="12" customHeight="1" thickBot="1" x14ac:dyDescent="0.25">
      <c r="A138" s="1000"/>
      <c r="B138" s="1001"/>
      <c r="C138" s="983"/>
      <c r="D138" s="983"/>
      <c r="E138" s="983"/>
      <c r="F138" s="1083"/>
      <c r="G138" s="1070"/>
      <c r="H138" s="983"/>
      <c r="I138" s="1083"/>
      <c r="J138" s="1096"/>
      <c r="K138" s="1020"/>
      <c r="L138" s="1112"/>
      <c r="M138" s="1070"/>
      <c r="N138" s="983"/>
      <c r="O138" s="1083"/>
      <c r="P138" s="1096"/>
      <c r="Q138" s="1052"/>
      <c r="R138" s="1052"/>
    </row>
    <row r="139" spans="1:22" s="602" customFormat="1" ht="21.75" customHeight="1" thickBot="1" x14ac:dyDescent="0.25">
      <c r="A139" s="1005"/>
      <c r="B139" s="1006" t="s">
        <v>200</v>
      </c>
      <c r="C139" s="1049"/>
      <c r="D139" s="1049">
        <f>SUM(D136:D137)</f>
        <v>1103</v>
      </c>
      <c r="E139" s="1049"/>
      <c r="F139" s="1090"/>
      <c r="G139" s="1077">
        <f>SUM(G136:G137)</f>
        <v>297</v>
      </c>
      <c r="H139" s="1049"/>
      <c r="I139" s="1090"/>
      <c r="J139" s="1077">
        <f>SUM(J136:J137)</f>
        <v>1400</v>
      </c>
      <c r="K139" s="1049"/>
      <c r="L139" s="1090"/>
      <c r="M139" s="1077">
        <f>SUM(M136:M137)</f>
        <v>1400</v>
      </c>
      <c r="N139" s="1049"/>
      <c r="O139" s="1090"/>
      <c r="P139" s="1077"/>
      <c r="Q139" s="1053"/>
      <c r="R139" s="1054"/>
    </row>
    <row r="140" spans="1:22" s="89" customFormat="1" ht="13.5" customHeight="1" x14ac:dyDescent="0.2">
      <c r="A140" s="1034"/>
      <c r="B140" s="1048"/>
      <c r="C140" s="990"/>
      <c r="D140" s="990"/>
      <c r="E140" s="990"/>
      <c r="F140" s="1064"/>
      <c r="G140" s="1058"/>
      <c r="H140" s="990"/>
      <c r="I140" s="1064"/>
      <c r="J140" s="1072"/>
      <c r="K140" s="991"/>
      <c r="L140" s="1085"/>
      <c r="M140" s="1108"/>
      <c r="N140" s="1043"/>
      <c r="O140" s="1122"/>
      <c r="P140" s="1108"/>
      <c r="Q140" s="1044"/>
      <c r="R140" s="1044"/>
      <c r="V140" s="432"/>
    </row>
    <row r="141" spans="1:22" s="89" customFormat="1" ht="13.5" customHeight="1" x14ac:dyDescent="0.15">
      <c r="A141" s="950" t="s">
        <v>540</v>
      </c>
      <c r="B141" s="937" t="s">
        <v>541</v>
      </c>
      <c r="C141" s="939"/>
      <c r="D141" s="939"/>
      <c r="E141" s="939"/>
      <c r="F141" s="1080"/>
      <c r="G141" s="1067"/>
      <c r="H141" s="939"/>
      <c r="I141" s="1080"/>
      <c r="J141" s="1067"/>
      <c r="K141" s="939"/>
      <c r="L141" s="1080"/>
      <c r="M141" s="1107"/>
      <c r="N141" s="946"/>
      <c r="O141" s="1121"/>
      <c r="P141" s="1107"/>
      <c r="Q141" s="978"/>
      <c r="R141" s="978"/>
    </row>
    <row r="142" spans="1:22" s="89" customFormat="1" ht="11.25" customHeight="1" x14ac:dyDescent="0.2">
      <c r="A142" s="936"/>
      <c r="B142" s="954"/>
      <c r="C142" s="938"/>
      <c r="D142" s="938"/>
      <c r="E142" s="938"/>
      <c r="F142" s="1061"/>
      <c r="G142" s="1055"/>
      <c r="H142" s="938"/>
      <c r="I142" s="1061"/>
      <c r="J142" s="1067"/>
      <c r="K142" s="939"/>
      <c r="L142" s="1080"/>
      <c r="M142" s="1103"/>
      <c r="N142" s="945"/>
      <c r="O142" s="1117"/>
      <c r="P142" s="1113"/>
      <c r="Q142" s="978"/>
      <c r="R142" s="978"/>
    </row>
    <row r="143" spans="1:22" s="89" customFormat="1" ht="21.75" customHeight="1" x14ac:dyDescent="0.2">
      <c r="A143" s="936"/>
      <c r="B143" s="937" t="s">
        <v>542</v>
      </c>
      <c r="C143" s="938"/>
      <c r="D143" s="939">
        <f>D141</f>
        <v>0</v>
      </c>
      <c r="E143" s="939"/>
      <c r="F143" s="1080"/>
      <c r="G143" s="1067">
        <f t="shared" ref="G143:M143" si="14">G141</f>
        <v>0</v>
      </c>
      <c r="H143" s="939"/>
      <c r="I143" s="1080"/>
      <c r="J143" s="1067">
        <f t="shared" si="14"/>
        <v>0</v>
      </c>
      <c r="K143" s="939"/>
      <c r="L143" s="1080"/>
      <c r="M143" s="1067">
        <f t="shared" si="14"/>
        <v>0</v>
      </c>
      <c r="N143" s="939"/>
      <c r="O143" s="1080"/>
      <c r="P143" s="1067"/>
      <c r="Q143" s="978"/>
      <c r="R143" s="978"/>
    </row>
    <row r="144" spans="1:22" s="80" customFormat="1" ht="13.5" customHeight="1" thickBot="1" x14ac:dyDescent="0.25">
      <c r="A144" s="1000"/>
      <c r="B144" s="1001"/>
      <c r="C144" s="986"/>
      <c r="D144" s="986"/>
      <c r="E144" s="986"/>
      <c r="F144" s="1086"/>
      <c r="G144" s="1073"/>
      <c r="H144" s="986"/>
      <c r="I144" s="1086"/>
      <c r="J144" s="1075"/>
      <c r="K144" s="1029"/>
      <c r="L144" s="1088"/>
      <c r="M144" s="1056"/>
      <c r="N144" s="984"/>
      <c r="O144" s="1062"/>
      <c r="P144" s="1056"/>
      <c r="Q144" s="1030"/>
      <c r="R144" s="1030"/>
    </row>
    <row r="145" spans="1:18" s="89" customFormat="1" ht="20.25" customHeight="1" thickBot="1" x14ac:dyDescent="0.2">
      <c r="A145" s="1036"/>
      <c r="B145" s="1006" t="s">
        <v>543</v>
      </c>
      <c r="C145" s="1049"/>
      <c r="D145" s="1049">
        <f>D15+D21+D51+D64+D69+D79+D84+D96+D102+D114+D119+D125+D133+D143+D139</f>
        <v>1790068</v>
      </c>
      <c r="E145" s="1049"/>
      <c r="F145" s="1090"/>
      <c r="G145" s="1077">
        <f>G15+G21+G51+G64+G69+G79+G84+G96+G102+G114+G119+G125+G133+G143+G139</f>
        <v>461391</v>
      </c>
      <c r="H145" s="1049"/>
      <c r="I145" s="1090"/>
      <c r="J145" s="1077">
        <f>J15+J21+J51+J64+J69+J79+J84+J96+J102+J114+J119+J125+J133+J143+J139</f>
        <v>2251459</v>
      </c>
      <c r="K145" s="1049"/>
      <c r="L145" s="1090"/>
      <c r="M145" s="1077">
        <f>M15+M21+M51+M64+M69+M79+M84+M96+M102+M114+M119+M125+M133+M143+M139</f>
        <v>2059166</v>
      </c>
      <c r="N145" s="1049"/>
      <c r="O145" s="1090"/>
      <c r="P145" s="1077">
        <f>P15+P21+P51+P64+P69+P79+P84+P96+P102+P114+P119+P125+P133+P143+P139</f>
        <v>192293</v>
      </c>
      <c r="Q145" s="1046"/>
      <c r="R145" s="1047"/>
    </row>
    <row r="148" spans="1:18" ht="14.1" customHeight="1" x14ac:dyDescent="0.2">
      <c r="G148" s="90"/>
      <c r="H148" s="90"/>
      <c r="I148" s="90"/>
      <c r="J148" s="91"/>
      <c r="K148" s="91"/>
      <c r="L148" s="91"/>
    </row>
  </sheetData>
  <sheetProtection selectLockedCells="1" selectUnlockedCells="1"/>
  <mergeCells count="14">
    <mergeCell ref="A1:P1"/>
    <mergeCell ref="A2:P2"/>
    <mergeCell ref="A4:P4"/>
    <mergeCell ref="A5:A9"/>
    <mergeCell ref="B8:B9"/>
    <mergeCell ref="C8:C9"/>
    <mergeCell ref="B3:P3"/>
    <mergeCell ref="D8:F8"/>
    <mergeCell ref="G8:I8"/>
    <mergeCell ref="J8:L8"/>
    <mergeCell ref="M8:O8"/>
    <mergeCell ref="P8:R8"/>
    <mergeCell ref="M7:R7"/>
    <mergeCell ref="D7:L7"/>
  </mergeCells>
  <phoneticPr fontId="33" type="noConversion"/>
  <pageMargins left="0" right="0" top="0.39370078740157483" bottom="0.39370078740157483" header="0.51181102362204722" footer="0.51181102362204722"/>
  <pageSetup paperSize="8" scale="76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1"/>
  <sheetViews>
    <sheetView topLeftCell="A13" workbookViewId="0">
      <selection activeCell="M19" sqref="M19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6" customWidth="1"/>
    <col min="4" max="4" width="14" style="36" customWidth="1"/>
    <col min="5" max="5" width="20.42578125" style="16" customWidth="1"/>
    <col min="6" max="16384" width="9.140625" style="16"/>
  </cols>
  <sheetData>
    <row r="1" spans="1:10" x14ac:dyDescent="0.25">
      <c r="B1" s="17"/>
      <c r="C1" s="23"/>
    </row>
    <row r="2" spans="1:10" x14ac:dyDescent="0.25">
      <c r="A2" s="1510" t="s">
        <v>1266</v>
      </c>
      <c r="B2" s="1510"/>
      <c r="C2" s="1510"/>
      <c r="D2" s="1510"/>
      <c r="E2" s="1510"/>
    </row>
    <row r="3" spans="1:10" x14ac:dyDescent="0.25">
      <c r="B3" s="18"/>
      <c r="C3" s="236"/>
    </row>
    <row r="4" spans="1:10" ht="15" customHeight="1" x14ac:dyDescent="0.25">
      <c r="A4" s="1511" t="s">
        <v>78</v>
      </c>
      <c r="B4" s="1511"/>
      <c r="C4" s="1511"/>
      <c r="D4" s="1511"/>
      <c r="E4" s="1511"/>
    </row>
    <row r="5" spans="1:10" ht="15" customHeight="1" x14ac:dyDescent="0.25">
      <c r="A5" s="1512" t="s">
        <v>1121</v>
      </c>
      <c r="B5" s="1512"/>
      <c r="C5" s="1512"/>
      <c r="D5" s="1512"/>
      <c r="E5" s="1512"/>
    </row>
    <row r="6" spans="1:10" ht="15" customHeight="1" x14ac:dyDescent="0.25">
      <c r="A6" s="1512" t="s">
        <v>553</v>
      </c>
      <c r="B6" s="1512"/>
      <c r="C6" s="1512"/>
      <c r="D6" s="1512"/>
      <c r="E6" s="1512"/>
    </row>
    <row r="7" spans="1:10" ht="15" customHeight="1" x14ac:dyDescent="0.25">
      <c r="B7" s="1512"/>
      <c r="C7" s="1512"/>
    </row>
    <row r="8" spans="1:10" s="19" customFormat="1" ht="20.100000000000001" customHeight="1" x14ac:dyDescent="0.25">
      <c r="A8" s="1513" t="s">
        <v>320</v>
      </c>
      <c r="B8" s="1514"/>
      <c r="C8" s="1515"/>
      <c r="D8" s="1515"/>
      <c r="E8" s="1515"/>
    </row>
    <row r="9" spans="1:10" s="19" customFormat="1" ht="20.100000000000001" customHeight="1" x14ac:dyDescent="0.25">
      <c r="A9" s="1517" t="s">
        <v>77</v>
      </c>
      <c r="B9" s="351" t="s">
        <v>57</v>
      </c>
      <c r="C9" s="1508" t="s">
        <v>58</v>
      </c>
      <c r="D9" s="1508"/>
      <c r="E9" s="1508"/>
      <c r="F9" s="1508"/>
      <c r="G9" s="1508"/>
      <c r="H9" s="1508"/>
      <c r="I9" s="1508"/>
      <c r="J9" s="1508"/>
    </row>
    <row r="10" spans="1:10" ht="46.5" customHeight="1" x14ac:dyDescent="0.25">
      <c r="A10" s="1517"/>
      <c r="B10" s="1509" t="s">
        <v>86</v>
      </c>
      <c r="C10" s="1516" t="s">
        <v>1279</v>
      </c>
      <c r="D10" s="1516"/>
      <c r="E10" s="1516"/>
      <c r="F10" s="1447" t="s">
        <v>1269</v>
      </c>
      <c r="G10" s="1448"/>
      <c r="H10" s="1447" t="s">
        <v>1270</v>
      </c>
      <c r="I10" s="1447"/>
      <c r="J10" s="1447"/>
    </row>
    <row r="11" spans="1:10" ht="20.100000000000001" customHeight="1" x14ac:dyDescent="0.25">
      <c r="A11" s="1517"/>
      <c r="B11" s="1509"/>
      <c r="C11" s="350" t="s">
        <v>189</v>
      </c>
      <c r="D11" s="352" t="s">
        <v>190</v>
      </c>
      <c r="E11" s="353" t="s">
        <v>191</v>
      </c>
      <c r="F11" s="700" t="s">
        <v>62</v>
      </c>
      <c r="G11" s="700" t="s">
        <v>63</v>
      </c>
      <c r="H11" s="700" t="s">
        <v>62</v>
      </c>
      <c r="I11" s="700" t="s">
        <v>63</v>
      </c>
      <c r="J11" s="700" t="s">
        <v>64</v>
      </c>
    </row>
    <row r="12" spans="1:10" ht="20.100000000000001" customHeight="1" x14ac:dyDescent="0.25">
      <c r="A12" s="1126" t="s">
        <v>507</v>
      </c>
      <c r="B12" s="1127" t="s">
        <v>554</v>
      </c>
      <c r="C12" s="1128"/>
      <c r="D12" s="1129"/>
      <c r="E12" s="1130"/>
      <c r="F12" s="1130"/>
      <c r="G12" s="1130"/>
      <c r="H12" s="1130"/>
      <c r="I12" s="1130"/>
      <c r="J12" s="1130"/>
    </row>
    <row r="13" spans="1:10" ht="20.100000000000001" customHeight="1" x14ac:dyDescent="0.25">
      <c r="A13" s="1126" t="s">
        <v>515</v>
      </c>
      <c r="B13" s="1131" t="s">
        <v>670</v>
      </c>
      <c r="C13" s="1128"/>
      <c r="D13" s="1129"/>
      <c r="E13" s="1130"/>
      <c r="F13" s="1130"/>
      <c r="G13" s="1130"/>
      <c r="H13" s="1130"/>
      <c r="I13" s="1130"/>
      <c r="J13" s="1130"/>
    </row>
    <row r="14" spans="1:10" ht="30.75" customHeight="1" x14ac:dyDescent="0.25">
      <c r="A14" s="1132" t="s">
        <v>516</v>
      </c>
      <c r="B14" s="1133" t="s">
        <v>322</v>
      </c>
      <c r="C14" s="1134"/>
      <c r="D14" s="1134">
        <v>0</v>
      </c>
      <c r="E14" s="1135">
        <f t="shared" ref="E14:E20" si="0">C14+D14</f>
        <v>0</v>
      </c>
      <c r="F14" s="1130"/>
      <c r="G14" s="1130"/>
      <c r="H14" s="1130"/>
      <c r="I14" s="1130"/>
      <c r="J14" s="1130"/>
    </row>
    <row r="15" spans="1:10" ht="24.6" customHeight="1" x14ac:dyDescent="0.25">
      <c r="A15" s="1132" t="s">
        <v>517</v>
      </c>
      <c r="B15" s="1133" t="s">
        <v>679</v>
      </c>
      <c r="C15" s="1134">
        <v>0</v>
      </c>
      <c r="D15" s="1134">
        <v>0</v>
      </c>
      <c r="E15" s="1135">
        <f t="shared" si="0"/>
        <v>0</v>
      </c>
      <c r="F15" s="1130"/>
      <c r="G15" s="1130"/>
      <c r="H15" s="1130"/>
      <c r="I15" s="1130"/>
      <c r="J15" s="1130"/>
    </row>
    <row r="16" spans="1:10" ht="36" customHeight="1" x14ac:dyDescent="0.25">
      <c r="A16" s="1132" t="s">
        <v>518</v>
      </c>
      <c r="B16" s="1136" t="s">
        <v>1244</v>
      </c>
      <c r="C16" s="1134">
        <v>78232</v>
      </c>
      <c r="D16" s="1137"/>
      <c r="E16" s="1135">
        <f t="shared" si="0"/>
        <v>78232</v>
      </c>
      <c r="F16" s="1130"/>
      <c r="G16" s="1130"/>
      <c r="H16" s="1130"/>
      <c r="I16" s="1130"/>
      <c r="J16" s="1130"/>
    </row>
    <row r="17" spans="1:10" ht="36.75" customHeight="1" x14ac:dyDescent="0.25">
      <c r="A17" s="1132" t="s">
        <v>519</v>
      </c>
      <c r="B17" s="1138" t="s">
        <v>1247</v>
      </c>
      <c r="C17" s="1137">
        <v>110160</v>
      </c>
      <c r="D17" s="1137"/>
      <c r="E17" s="1135">
        <f t="shared" si="0"/>
        <v>110160</v>
      </c>
      <c r="F17" s="1130"/>
      <c r="G17" s="1130"/>
      <c r="H17" s="1130"/>
      <c r="I17" s="1130"/>
      <c r="J17" s="1130"/>
    </row>
    <row r="18" spans="1:10" ht="24" customHeight="1" x14ac:dyDescent="0.25">
      <c r="A18" s="1145" t="s">
        <v>520</v>
      </c>
      <c r="B18" s="1146" t="s">
        <v>1243</v>
      </c>
      <c r="C18" s="1147">
        <v>155500</v>
      </c>
      <c r="D18" s="1147"/>
      <c r="E18" s="1148">
        <f t="shared" si="0"/>
        <v>155500</v>
      </c>
      <c r="F18" s="1149"/>
      <c r="G18" s="1149"/>
      <c r="H18" s="1149"/>
      <c r="I18" s="1149"/>
      <c r="J18" s="1149"/>
    </row>
    <row r="19" spans="1:10" ht="24" customHeight="1" thickBot="1" x14ac:dyDescent="0.3">
      <c r="A19" s="1172"/>
      <c r="B19" s="1173"/>
      <c r="C19" s="1174"/>
      <c r="D19" s="1174"/>
      <c r="E19" s="1175"/>
      <c r="F19" s="1176"/>
      <c r="G19" s="1176"/>
      <c r="H19" s="1176"/>
      <c r="I19" s="1176"/>
      <c r="J19" s="1177"/>
    </row>
    <row r="20" spans="1:10" s="15" customFormat="1" ht="19.5" customHeight="1" thickBot="1" x14ac:dyDescent="0.3">
      <c r="A20" s="1156" t="s">
        <v>521</v>
      </c>
      <c r="B20" s="1157" t="s">
        <v>49</v>
      </c>
      <c r="C20" s="1158">
        <f>SUM(C14:C18)</f>
        <v>343892</v>
      </c>
      <c r="D20" s="1158">
        <f>SUM(D14:D16)</f>
        <v>0</v>
      </c>
      <c r="E20" s="1159">
        <f t="shared" si="0"/>
        <v>343892</v>
      </c>
      <c r="F20" s="1160"/>
      <c r="G20" s="1160"/>
      <c r="H20" s="1160"/>
      <c r="I20" s="1160"/>
      <c r="J20" s="1161"/>
    </row>
    <row r="21" spans="1:10" s="15" customFormat="1" ht="20.25" customHeight="1" x14ac:dyDescent="0.25">
      <c r="A21" s="1150" t="s">
        <v>522</v>
      </c>
      <c r="B21" s="1151"/>
      <c r="C21" s="1152"/>
      <c r="D21" s="1153"/>
      <c r="E21" s="1154"/>
      <c r="F21" s="1155"/>
      <c r="G21" s="1155"/>
      <c r="H21" s="1155"/>
      <c r="I21" s="1155"/>
      <c r="J21" s="1155"/>
    </row>
    <row r="22" spans="1:10" ht="19.5" customHeight="1" x14ac:dyDescent="0.25">
      <c r="A22" s="1126" t="s">
        <v>564</v>
      </c>
      <c r="B22" s="1139" t="s">
        <v>671</v>
      </c>
      <c r="C22" s="1134"/>
      <c r="D22" s="1140"/>
      <c r="E22" s="1141"/>
      <c r="F22" s="1130"/>
      <c r="G22" s="1130"/>
      <c r="H22" s="1130"/>
      <c r="I22" s="1130"/>
      <c r="J22" s="1130"/>
    </row>
    <row r="23" spans="1:10" ht="21" customHeight="1" x14ac:dyDescent="0.25">
      <c r="A23" s="1126" t="s">
        <v>565</v>
      </c>
      <c r="B23" s="1142" t="s">
        <v>555</v>
      </c>
      <c r="C23" s="1134"/>
      <c r="D23" s="1134">
        <v>60000</v>
      </c>
      <c r="E23" s="1135">
        <f>C23+D23</f>
        <v>60000</v>
      </c>
      <c r="F23" s="1130"/>
      <c r="G23" s="1130"/>
      <c r="H23" s="1130"/>
      <c r="I23" s="1130"/>
      <c r="J23" s="1130"/>
    </row>
    <row r="24" spans="1:10" ht="21.75" customHeight="1" x14ac:dyDescent="0.25">
      <c r="A24" s="1126" t="s">
        <v>566</v>
      </c>
      <c r="B24" s="1143" t="s">
        <v>556</v>
      </c>
      <c r="C24" s="1134"/>
      <c r="D24" s="1134">
        <v>3941</v>
      </c>
      <c r="E24" s="1135">
        <f>C24+D24</f>
        <v>3941</v>
      </c>
      <c r="F24" s="1130"/>
      <c r="G24" s="1130"/>
      <c r="H24" s="1130"/>
      <c r="I24" s="1130"/>
      <c r="J24" s="1130"/>
    </row>
    <row r="25" spans="1:10" ht="41.25" customHeight="1" thickBot="1" x14ac:dyDescent="0.3">
      <c r="A25" s="1145" t="s">
        <v>567</v>
      </c>
      <c r="B25" s="1162" t="s">
        <v>1026</v>
      </c>
      <c r="C25" s="1163"/>
      <c r="D25" s="1164">
        <v>88</v>
      </c>
      <c r="E25" s="1165">
        <f>C25+D25</f>
        <v>88</v>
      </c>
      <c r="F25" s="1149"/>
      <c r="G25" s="1149"/>
      <c r="H25" s="1149"/>
      <c r="I25" s="1149"/>
      <c r="J25" s="1149"/>
    </row>
    <row r="26" spans="1:10" s="15" customFormat="1" ht="21" customHeight="1" thickBot="1" x14ac:dyDescent="0.3">
      <c r="A26" s="1156" t="s">
        <v>568</v>
      </c>
      <c r="B26" s="1157" t="s">
        <v>672</v>
      </c>
      <c r="C26" s="1158">
        <f>SUM(C23:C24)</f>
        <v>0</v>
      </c>
      <c r="D26" s="1158">
        <f>SUM(D23:D25)</f>
        <v>64029</v>
      </c>
      <c r="E26" s="1159">
        <f>C26+D26</f>
        <v>64029</v>
      </c>
      <c r="F26" s="1160"/>
      <c r="G26" s="1160"/>
      <c r="H26" s="1160"/>
      <c r="I26" s="1160"/>
      <c r="J26" s="1161"/>
    </row>
    <row r="27" spans="1:10" s="15" customFormat="1" ht="22.5" customHeight="1" thickBot="1" x14ac:dyDescent="0.3">
      <c r="A27" s="1156" t="s">
        <v>569</v>
      </c>
      <c r="B27" s="1170" t="s">
        <v>557</v>
      </c>
      <c r="C27" s="1159">
        <f>C20+C26</f>
        <v>343892</v>
      </c>
      <c r="D27" s="1159">
        <f>D20+D26</f>
        <v>64029</v>
      </c>
      <c r="E27" s="1159">
        <f>C27+D27</f>
        <v>407921</v>
      </c>
      <c r="F27" s="1160"/>
      <c r="G27" s="1160"/>
      <c r="H27" s="1160"/>
      <c r="I27" s="1160"/>
      <c r="J27" s="1161"/>
    </row>
    <row r="28" spans="1:10" ht="20.100000000000001" customHeight="1" x14ac:dyDescent="0.25">
      <c r="A28" s="1150" t="s">
        <v>570</v>
      </c>
      <c r="B28" s="1166"/>
      <c r="C28" s="1167"/>
      <c r="D28" s="1167"/>
      <c r="E28" s="1168"/>
      <c r="F28" s="1169"/>
      <c r="G28" s="1169"/>
      <c r="H28" s="1169"/>
      <c r="I28" s="1169"/>
      <c r="J28" s="1169"/>
    </row>
    <row r="29" spans="1:10" ht="20.100000000000001" customHeight="1" x14ac:dyDescent="0.25">
      <c r="A29" s="1126" t="s">
        <v>571</v>
      </c>
      <c r="B29" s="1127" t="s">
        <v>558</v>
      </c>
      <c r="C29" s="1137"/>
      <c r="D29" s="1137"/>
      <c r="E29" s="1141"/>
      <c r="F29" s="1130"/>
      <c r="G29" s="1130"/>
      <c r="H29" s="1130"/>
      <c r="I29" s="1130"/>
      <c r="J29" s="1130"/>
    </row>
    <row r="30" spans="1:10" ht="20.100000000000001" customHeight="1" x14ac:dyDescent="0.25">
      <c r="A30" s="1126" t="s">
        <v>573</v>
      </c>
      <c r="B30" s="1142" t="s">
        <v>559</v>
      </c>
      <c r="C30" s="1137">
        <v>22</v>
      </c>
      <c r="D30" s="1137">
        <v>152</v>
      </c>
      <c r="E30" s="1137">
        <f>C30+D30</f>
        <v>174</v>
      </c>
      <c r="F30" s="1130"/>
      <c r="G30" s="1130"/>
      <c r="H30" s="1130"/>
      <c r="I30" s="1130"/>
      <c r="J30" s="1130"/>
    </row>
    <row r="31" spans="1:10" ht="20.100000000000001" customHeight="1" x14ac:dyDescent="0.25">
      <c r="A31" s="1126" t="s">
        <v>574</v>
      </c>
      <c r="B31" s="1144" t="s">
        <v>201</v>
      </c>
      <c r="C31" s="1137"/>
      <c r="D31" s="1137"/>
      <c r="E31" s="1137"/>
      <c r="F31" s="1130"/>
      <c r="G31" s="1130"/>
      <c r="H31" s="1130"/>
      <c r="I31" s="1130"/>
      <c r="J31" s="1130"/>
    </row>
    <row r="32" spans="1:10" ht="32.25" customHeight="1" x14ac:dyDescent="0.25">
      <c r="A32" s="1132" t="s">
        <v>575</v>
      </c>
      <c r="B32" s="1133" t="s">
        <v>1245</v>
      </c>
      <c r="C32" s="1137">
        <v>1838</v>
      </c>
      <c r="D32" s="1137"/>
      <c r="E32" s="1137">
        <f>SUM(C32:D32)</f>
        <v>1838</v>
      </c>
      <c r="F32" s="1130"/>
      <c r="G32" s="1130"/>
      <c r="H32" s="1130"/>
      <c r="I32" s="1130"/>
      <c r="J32" s="1130"/>
    </row>
    <row r="33" spans="1:15" ht="32.25" customHeight="1" thickBot="1" x14ac:dyDescent="0.3">
      <c r="A33" s="1145" t="s">
        <v>576</v>
      </c>
      <c r="B33" s="1146" t="s">
        <v>1246</v>
      </c>
      <c r="C33" s="1147">
        <v>2223</v>
      </c>
      <c r="D33" s="1147"/>
      <c r="E33" s="1147">
        <f>SUM(C33:D33)</f>
        <v>2223</v>
      </c>
      <c r="F33" s="1149"/>
      <c r="G33" s="1149"/>
      <c r="H33" s="1149"/>
      <c r="I33" s="1149"/>
      <c r="J33" s="1149"/>
    </row>
    <row r="34" spans="1:15" s="15" customFormat="1" ht="20.100000000000001" customHeight="1" thickBot="1" x14ac:dyDescent="0.3">
      <c r="A34" s="1156" t="s">
        <v>577</v>
      </c>
      <c r="B34" s="1171" t="s">
        <v>560</v>
      </c>
      <c r="C34" s="1159">
        <f>C30+C32+C33</f>
        <v>4083</v>
      </c>
      <c r="D34" s="1159">
        <f t="shared" ref="D34:E34" si="1">D30+D32+D33</f>
        <v>152</v>
      </c>
      <c r="E34" s="1159">
        <f t="shared" si="1"/>
        <v>4235</v>
      </c>
      <c r="F34" s="1160"/>
      <c r="G34" s="1160"/>
      <c r="H34" s="1160"/>
      <c r="I34" s="1160"/>
      <c r="J34" s="1161"/>
      <c r="O34" s="696"/>
    </row>
    <row r="35" spans="1:15" s="15" customFormat="1" ht="20.100000000000001" customHeight="1" thickBot="1" x14ac:dyDescent="0.3">
      <c r="A35" s="1156" t="s">
        <v>578</v>
      </c>
      <c r="B35" s="1171" t="s">
        <v>323</v>
      </c>
      <c r="C35" s="1159">
        <f>C27+C34</f>
        <v>347975</v>
      </c>
      <c r="D35" s="1159">
        <f>D27+D34</f>
        <v>64181</v>
      </c>
      <c r="E35" s="1159">
        <f>E27+E34</f>
        <v>412156</v>
      </c>
      <c r="F35" s="1160"/>
      <c r="G35" s="1160"/>
      <c r="H35" s="1160"/>
      <c r="I35" s="1160"/>
      <c r="J35" s="1161"/>
      <c r="O35" s="696"/>
    </row>
    <row r="36" spans="1:15" s="15" customFormat="1" ht="20.100000000000001" customHeight="1" x14ac:dyDescent="0.25">
      <c r="A36" s="16"/>
      <c r="B36" s="26"/>
      <c r="C36" s="24"/>
      <c r="D36" s="254"/>
    </row>
    <row r="37" spans="1:15" ht="19.5" customHeight="1" x14ac:dyDescent="0.25">
      <c r="B37" s="27"/>
      <c r="C37" s="23"/>
    </row>
    <row r="38" spans="1:15" ht="15" customHeight="1" x14ac:dyDescent="0.25">
      <c r="B38" s="17"/>
      <c r="C38" s="23"/>
      <c r="H38" s="363"/>
    </row>
    <row r="39" spans="1:15" x14ac:dyDescent="0.25">
      <c r="B39" s="17"/>
      <c r="C39" s="23"/>
    </row>
    <row r="40" spans="1:15" x14ac:dyDescent="0.25">
      <c r="B40" s="17"/>
      <c r="C40" s="23"/>
    </row>
    <row r="41" spans="1:15" x14ac:dyDescent="0.25">
      <c r="B41" s="17"/>
      <c r="C41" s="23"/>
    </row>
  </sheetData>
  <sheetProtection selectLockedCells="1" selectUnlockedCells="1"/>
  <mergeCells count="12">
    <mergeCell ref="F10:G10"/>
    <mergeCell ref="H10:J10"/>
    <mergeCell ref="C9:J9"/>
    <mergeCell ref="B10:B11"/>
    <mergeCell ref="A2:E2"/>
    <mergeCell ref="A4:E4"/>
    <mergeCell ref="A5:E5"/>
    <mergeCell ref="A6:E6"/>
    <mergeCell ref="A8:E8"/>
    <mergeCell ref="B7:C7"/>
    <mergeCell ref="C10:E10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61"/>
  <sheetViews>
    <sheetView zoomScale="120" workbookViewId="0">
      <selection activeCell="F39" sqref="F39"/>
    </sheetView>
  </sheetViews>
  <sheetFormatPr defaultColWidth="9.140625" defaultRowHeight="11.25" x14ac:dyDescent="0.2"/>
  <cols>
    <col min="1" max="1" width="0.85546875" style="10" customWidth="1"/>
    <col min="2" max="2" width="3.7109375" style="116" customWidth="1"/>
    <col min="3" max="3" width="37.28515625" style="116" customWidth="1"/>
    <col min="4" max="4" width="12" style="117" customWidth="1"/>
    <col min="5" max="5" width="11.140625" style="117" customWidth="1"/>
    <col min="6" max="6" width="12.140625" style="117" customWidth="1"/>
    <col min="7" max="7" width="9.7109375" style="117" customWidth="1"/>
    <col min="8" max="8" width="9.5703125" style="117" customWidth="1"/>
    <col min="9" max="9" width="10.5703125" style="117" customWidth="1"/>
    <col min="10" max="10" width="10.85546875" style="117" customWidth="1"/>
    <col min="11" max="11" width="11.85546875" style="117" customWidth="1"/>
    <col min="12" max="12" width="38.7109375" style="117" customWidth="1"/>
    <col min="13" max="13" width="11.5703125" style="117" customWidth="1"/>
    <col min="14" max="14" width="11.7109375" style="117" customWidth="1"/>
    <col min="15" max="15" width="14.5703125" style="117" customWidth="1"/>
    <col min="16" max="16" width="10.140625" style="233" customWidth="1"/>
    <col min="17" max="17" width="10" style="233" customWidth="1"/>
    <col min="18" max="18" width="9.5703125" style="233" customWidth="1"/>
    <col min="19" max="16384" width="9.140625" style="10"/>
  </cols>
  <sheetData>
    <row r="1" spans="1:20" ht="12.75" customHeight="1" x14ac:dyDescent="0.2">
      <c r="D1" s="1386" t="s">
        <v>1298</v>
      </c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1386"/>
      <c r="P1" s="1386"/>
      <c r="Q1" s="1386"/>
      <c r="R1" s="1386"/>
      <c r="S1" s="1386"/>
      <c r="T1" s="1386"/>
    </row>
    <row r="2" spans="1:20" x14ac:dyDescent="0.2">
      <c r="O2" s="118"/>
    </row>
    <row r="3" spans="1:20" s="98" customFormat="1" ht="12.75" customHeight="1" x14ac:dyDescent="0.2">
      <c r="B3" s="119"/>
      <c r="C3" s="1387" t="s">
        <v>78</v>
      </c>
      <c r="D3" s="1387"/>
      <c r="E3" s="1387"/>
      <c r="F3" s="1387"/>
      <c r="G3" s="1387"/>
      <c r="H3" s="1387"/>
      <c r="I3" s="1387"/>
      <c r="J3" s="1387"/>
      <c r="K3" s="1387"/>
      <c r="L3" s="1387"/>
      <c r="M3" s="1387"/>
      <c r="N3" s="1387"/>
      <c r="O3" s="1387"/>
      <c r="P3" s="1387"/>
      <c r="Q3" s="1387"/>
      <c r="R3" s="1387"/>
      <c r="S3" s="1387"/>
      <c r="T3" s="1387"/>
    </row>
    <row r="4" spans="1:20" s="98" customFormat="1" x14ac:dyDescent="0.2">
      <c r="B4" s="119"/>
      <c r="C4" s="1518" t="s">
        <v>1122</v>
      </c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</row>
    <row r="5" spans="1:20" s="98" customFormat="1" ht="12.75" customHeight="1" thickBot="1" x14ac:dyDescent="0.25">
      <c r="B5" s="1428" t="s">
        <v>320</v>
      </c>
      <c r="C5" s="1428"/>
      <c r="D5" s="1428"/>
      <c r="E5" s="1428"/>
      <c r="F5" s="1428"/>
      <c r="G5" s="1428"/>
      <c r="H5" s="1428"/>
      <c r="I5" s="1428"/>
      <c r="J5" s="1428"/>
      <c r="K5" s="1428"/>
      <c r="L5" s="1428"/>
      <c r="M5" s="1428"/>
      <c r="N5" s="1428"/>
      <c r="O5" s="1428"/>
      <c r="P5" s="1428"/>
      <c r="Q5" s="1428"/>
      <c r="R5" s="1428"/>
      <c r="S5" s="1428"/>
      <c r="T5" s="1428"/>
    </row>
    <row r="6" spans="1:20" s="98" customFormat="1" ht="12.75" customHeight="1" x14ac:dyDescent="0.2">
      <c r="B6" s="1522" t="s">
        <v>56</v>
      </c>
      <c r="C6" s="1401" t="s">
        <v>57</v>
      </c>
      <c r="D6" s="1519" t="s">
        <v>58</v>
      </c>
      <c r="E6" s="1520"/>
      <c r="F6" s="1520"/>
      <c r="G6" s="1520"/>
      <c r="H6" s="1520"/>
      <c r="I6" s="1520"/>
      <c r="J6" s="1520"/>
      <c r="K6" s="1521"/>
      <c r="L6" s="1525" t="s">
        <v>59</v>
      </c>
      <c r="M6" s="1528" t="s">
        <v>60</v>
      </c>
      <c r="N6" s="1528"/>
      <c r="O6" s="1528"/>
      <c r="P6" s="1528"/>
      <c r="Q6" s="1528"/>
      <c r="R6" s="1528"/>
      <c r="S6" s="1528"/>
      <c r="T6" s="1529"/>
    </row>
    <row r="7" spans="1:20" s="98" customFormat="1" ht="12.75" customHeight="1" x14ac:dyDescent="0.2">
      <c r="B7" s="1523"/>
      <c r="C7" s="1402"/>
      <c r="D7" s="1396" t="s">
        <v>1280</v>
      </c>
      <c r="E7" s="1396"/>
      <c r="F7" s="1397"/>
      <c r="G7" s="1390" t="s">
        <v>1299</v>
      </c>
      <c r="H7" s="1391"/>
      <c r="I7" s="1390" t="s">
        <v>1270</v>
      </c>
      <c r="J7" s="1390"/>
      <c r="K7" s="1392"/>
      <c r="L7" s="1526"/>
      <c r="M7" s="1425" t="s">
        <v>1281</v>
      </c>
      <c r="N7" s="1425"/>
      <c r="O7" s="1425"/>
      <c r="P7" s="1420" t="s">
        <v>1299</v>
      </c>
      <c r="Q7" s="1421"/>
      <c r="R7" s="1420" t="s">
        <v>1270</v>
      </c>
      <c r="S7" s="1420"/>
      <c r="T7" s="1527"/>
    </row>
    <row r="8" spans="1:20" s="99" customFormat="1" ht="36.6" customHeight="1" thickBot="1" x14ac:dyDescent="0.25">
      <c r="A8" s="1342"/>
      <c r="B8" s="1524"/>
      <c r="C8" s="1378" t="s">
        <v>61</v>
      </c>
      <c r="D8" s="1305" t="s">
        <v>62</v>
      </c>
      <c r="E8" s="1305" t="s">
        <v>63</v>
      </c>
      <c r="F8" s="1306" t="s">
        <v>64</v>
      </c>
      <c r="G8" s="1305" t="s">
        <v>62</v>
      </c>
      <c r="H8" s="1306" t="s">
        <v>63</v>
      </c>
      <c r="I8" s="1305" t="s">
        <v>62</v>
      </c>
      <c r="J8" s="1305" t="s">
        <v>63</v>
      </c>
      <c r="K8" s="1337" t="s">
        <v>64</v>
      </c>
      <c r="L8" s="1308" t="s">
        <v>65</v>
      </c>
      <c r="M8" s="1305" t="s">
        <v>62</v>
      </c>
      <c r="N8" s="1305" t="s">
        <v>63</v>
      </c>
      <c r="O8" s="1305" t="s">
        <v>64</v>
      </c>
      <c r="P8" s="1305" t="s">
        <v>62</v>
      </c>
      <c r="Q8" s="1306" t="s">
        <v>63</v>
      </c>
      <c r="R8" s="1305" t="s">
        <v>62</v>
      </c>
      <c r="S8" s="1306" t="s">
        <v>63</v>
      </c>
      <c r="T8" s="1307" t="s">
        <v>64</v>
      </c>
    </row>
    <row r="9" spans="1:20" ht="11.45" customHeight="1" x14ac:dyDescent="0.2">
      <c r="A9" s="1313"/>
      <c r="B9" s="1270">
        <v>1</v>
      </c>
      <c r="C9" s="1379" t="s">
        <v>24</v>
      </c>
      <c r="D9" s="124"/>
      <c r="E9" s="124"/>
      <c r="F9" s="124"/>
      <c r="G9" s="124"/>
      <c r="H9" s="124"/>
      <c r="I9" s="124"/>
      <c r="J9" s="124"/>
      <c r="K9" s="1293"/>
      <c r="L9" s="1272" t="s">
        <v>25</v>
      </c>
      <c r="M9" s="124"/>
      <c r="N9" s="124"/>
      <c r="O9" s="122"/>
      <c r="P9" s="205"/>
      <c r="Q9" s="205"/>
      <c r="R9" s="205"/>
      <c r="S9" s="205"/>
      <c r="T9" s="1312"/>
    </row>
    <row r="10" spans="1:20" x14ac:dyDescent="0.2">
      <c r="A10" s="1313"/>
      <c r="B10" s="1270">
        <f t="shared" ref="B10:B54" si="0">B9+1</f>
        <v>2</v>
      </c>
      <c r="C10" s="1380" t="s">
        <v>35</v>
      </c>
      <c r="D10" s="199"/>
      <c r="E10" s="199"/>
      <c r="F10" s="199">
        <f>SUM(D10:E10)</f>
        <v>0</v>
      </c>
      <c r="G10" s="199"/>
      <c r="H10" s="199"/>
      <c r="I10" s="199"/>
      <c r="J10" s="199"/>
      <c r="K10" s="1295"/>
      <c r="L10" s="199" t="s">
        <v>230</v>
      </c>
      <c r="M10" s="199">
        <f>'műk. kiad. szakf Önkorm. '!D66</f>
        <v>60378</v>
      </c>
      <c r="N10" s="199">
        <f>'műk. kiad. szakf Önkorm. '!G66</f>
        <v>47841</v>
      </c>
      <c r="O10" s="1275">
        <f>SUM(M10:N10)</f>
        <v>108219</v>
      </c>
      <c r="P10" s="1274">
        <v>2500</v>
      </c>
      <c r="Q10" s="1274">
        <v>-2226</v>
      </c>
      <c r="R10" s="1274">
        <f>M10+P10</f>
        <v>62878</v>
      </c>
      <c r="S10" s="1274">
        <f>N10+Q10</f>
        <v>45615</v>
      </c>
      <c r="T10" s="1316">
        <f>R10+S10</f>
        <v>108493</v>
      </c>
    </row>
    <row r="11" spans="1:20" x14ac:dyDescent="0.2">
      <c r="A11" s="1313"/>
      <c r="B11" s="1270">
        <f t="shared" si="0"/>
        <v>3</v>
      </c>
      <c r="C11" s="1380" t="s">
        <v>206</v>
      </c>
      <c r="D11" s="199">
        <f>'tám, végl. pe.átv  '!C11+'tám, végl. pe.átv  '!C17+'tám, végl. pe.átv  '!C18</f>
        <v>740982</v>
      </c>
      <c r="E11" s="199">
        <f>'tám, végl. pe.átv  '!D11+'tám, végl. pe.átv  '!D17+'tám, végl. pe.átv  '!D18</f>
        <v>93769</v>
      </c>
      <c r="F11" s="199">
        <f>'tám, végl. pe.átv  '!E11+'tám, végl. pe.átv  '!E17+'tám, végl. pe.átv  '!E18</f>
        <v>834751</v>
      </c>
      <c r="G11" s="199">
        <v>-6464</v>
      </c>
      <c r="H11" s="199"/>
      <c r="I11" s="199">
        <f>D11+G11</f>
        <v>734518</v>
      </c>
      <c r="J11" s="199">
        <f>E11+H11</f>
        <v>93769</v>
      </c>
      <c r="K11" s="1295">
        <f>I11+J11</f>
        <v>828287</v>
      </c>
      <c r="L11" s="199" t="s">
        <v>231</v>
      </c>
      <c r="M11" s="199">
        <f>'műk. kiad. szakf Önkorm. '!J66</f>
        <v>18106</v>
      </c>
      <c r="N11" s="199">
        <f>'műk. kiad. szakf Önkorm. '!M66</f>
        <v>16376.32</v>
      </c>
      <c r="O11" s="1275">
        <f>SUM(M11:N11)</f>
        <v>34482.32</v>
      </c>
      <c r="P11" s="1274">
        <v>488</v>
      </c>
      <c r="Q11" s="1274">
        <v>-475</v>
      </c>
      <c r="R11" s="1274">
        <f t="shared" ref="R11:R21" si="1">M11+P11</f>
        <v>18594</v>
      </c>
      <c r="S11" s="1274">
        <f t="shared" ref="S11:S21" si="2">N11+Q11</f>
        <v>15901.32</v>
      </c>
      <c r="T11" s="1316">
        <f t="shared" ref="T11:T21" si="3">R11+S11</f>
        <v>34495.32</v>
      </c>
    </row>
    <row r="12" spans="1:20" x14ac:dyDescent="0.2">
      <c r="A12" s="1313"/>
      <c r="B12" s="1270">
        <f t="shared" si="0"/>
        <v>4</v>
      </c>
      <c r="C12" s="1380" t="s">
        <v>203</v>
      </c>
      <c r="D12" s="199"/>
      <c r="E12" s="199">
        <v>0</v>
      </c>
      <c r="F12" s="199">
        <f>D12+E12</f>
        <v>0</v>
      </c>
      <c r="G12" s="199"/>
      <c r="H12" s="199"/>
      <c r="I12" s="199">
        <f t="shared" ref="I12:I13" si="4">D12+G12</f>
        <v>0</v>
      </c>
      <c r="J12" s="199">
        <f t="shared" ref="J12:J13" si="5">E12+H12</f>
        <v>0</v>
      </c>
      <c r="K12" s="1295"/>
      <c r="L12" s="199" t="s">
        <v>232</v>
      </c>
      <c r="M12" s="199">
        <f>'műk. kiad. szakf Önkorm. '!P66</f>
        <v>280679</v>
      </c>
      <c r="N12" s="199">
        <f>'műk. kiad. szakf Önkorm. '!S66</f>
        <v>182582</v>
      </c>
      <c r="O12" s="1275">
        <f>SUM(M12:N12)</f>
        <v>463261</v>
      </c>
      <c r="P12" s="1274"/>
      <c r="Q12" s="1274">
        <v>56873</v>
      </c>
      <c r="R12" s="1274">
        <f t="shared" si="1"/>
        <v>280679</v>
      </c>
      <c r="S12" s="1274">
        <f t="shared" si="2"/>
        <v>239455</v>
      </c>
      <c r="T12" s="1316">
        <f t="shared" si="3"/>
        <v>520134</v>
      </c>
    </row>
    <row r="13" spans="1:20" ht="12" customHeight="1" x14ac:dyDescent="0.2">
      <c r="A13" s="1313"/>
      <c r="B13" s="1270">
        <f t="shared" si="0"/>
        <v>5</v>
      </c>
      <c r="C13" s="1381" t="s">
        <v>207</v>
      </c>
      <c r="D13" s="199">
        <f>'tám, végl. pe.átv  '!C37</f>
        <v>10228</v>
      </c>
      <c r="E13" s="199">
        <f>'tám, végl. pe.átv  '!D37</f>
        <v>2450</v>
      </c>
      <c r="F13" s="199">
        <f>'tám, végl. pe.átv  '!E37</f>
        <v>12678</v>
      </c>
      <c r="G13" s="199">
        <v>-485</v>
      </c>
      <c r="H13" s="199">
        <v>2468</v>
      </c>
      <c r="I13" s="199">
        <f t="shared" si="4"/>
        <v>9743</v>
      </c>
      <c r="J13" s="199">
        <f t="shared" si="5"/>
        <v>4918</v>
      </c>
      <c r="K13" s="1295">
        <f>I13+J13</f>
        <v>14661</v>
      </c>
      <c r="L13" s="199"/>
      <c r="M13" s="199"/>
      <c r="N13" s="199"/>
      <c r="O13" s="1275"/>
      <c r="P13" s="1274"/>
      <c r="Q13" s="1274"/>
      <c r="R13" s="1274">
        <f t="shared" si="1"/>
        <v>0</v>
      </c>
      <c r="S13" s="1274">
        <f t="shared" si="2"/>
        <v>0</v>
      </c>
      <c r="T13" s="1316">
        <f t="shared" si="3"/>
        <v>0</v>
      </c>
    </row>
    <row r="14" spans="1:20" x14ac:dyDescent="0.2">
      <c r="A14" s="1313"/>
      <c r="B14" s="1270">
        <f t="shared" si="0"/>
        <v>6</v>
      </c>
      <c r="C14" s="1380" t="s">
        <v>1300</v>
      </c>
      <c r="D14" s="199">
        <f>'felh. bev.  '!D25</f>
        <v>0</v>
      </c>
      <c r="E14" s="199"/>
      <c r="F14" s="199"/>
      <c r="G14" s="199"/>
      <c r="H14" s="199"/>
      <c r="I14" s="199"/>
      <c r="J14" s="199"/>
      <c r="K14" s="1295"/>
      <c r="L14" s="199" t="s">
        <v>233</v>
      </c>
      <c r="M14" s="1274">
        <f>'műk. kiad. szakf Önkorm. '!AJ66</f>
        <v>2800</v>
      </c>
      <c r="N14" s="1274">
        <f>'ellátottak önk.'!F32</f>
        <v>10950</v>
      </c>
      <c r="O14" s="1275">
        <f>SUM(M14:N14)</f>
        <v>13750</v>
      </c>
      <c r="P14" s="1274"/>
      <c r="Q14" s="1274"/>
      <c r="R14" s="1274">
        <f t="shared" si="1"/>
        <v>2800</v>
      </c>
      <c r="S14" s="1274">
        <f t="shared" si="2"/>
        <v>10950</v>
      </c>
      <c r="T14" s="1316">
        <f t="shared" si="3"/>
        <v>13750</v>
      </c>
    </row>
    <row r="15" spans="1:20" x14ac:dyDescent="0.2">
      <c r="A15" s="1313"/>
      <c r="B15" s="1270">
        <f t="shared" si="0"/>
        <v>7</v>
      </c>
      <c r="C15" s="1380" t="s">
        <v>1301</v>
      </c>
      <c r="D15" s="199"/>
      <c r="E15" s="199"/>
      <c r="F15" s="199"/>
      <c r="G15" s="199">
        <v>8750</v>
      </c>
      <c r="H15" s="199"/>
      <c r="I15" s="199">
        <f t="shared" ref="I15:I20" si="6">D15+G15</f>
        <v>8750</v>
      </c>
      <c r="J15" s="199">
        <f t="shared" ref="J15:J30" si="7">E15+H15</f>
        <v>0</v>
      </c>
      <c r="K15" s="1295">
        <f t="shared" ref="K15:K30" si="8">I15+J15</f>
        <v>8750</v>
      </c>
      <c r="L15" s="199"/>
      <c r="M15" s="1274"/>
      <c r="N15" s="1274"/>
      <c r="O15" s="1275"/>
      <c r="P15" s="1274"/>
      <c r="Q15" s="1274"/>
      <c r="R15" s="1274">
        <f t="shared" si="1"/>
        <v>0</v>
      </c>
      <c r="S15" s="1274">
        <f t="shared" si="2"/>
        <v>0</v>
      </c>
      <c r="T15" s="1316">
        <f t="shared" si="3"/>
        <v>0</v>
      </c>
    </row>
    <row r="16" spans="1:20" x14ac:dyDescent="0.2">
      <c r="A16" s="1313"/>
      <c r="B16" s="1270">
        <f t="shared" si="0"/>
        <v>8</v>
      </c>
      <c r="C16" s="1382" t="s">
        <v>1302</v>
      </c>
      <c r="D16" s="199"/>
      <c r="E16" s="199">
        <v>93253</v>
      </c>
      <c r="F16" s="199">
        <f t="shared" ref="F16" si="9">SUM(D16:E16)</f>
        <v>93253</v>
      </c>
      <c r="G16" s="199"/>
      <c r="H16" s="199"/>
      <c r="I16" s="199">
        <f t="shared" si="6"/>
        <v>0</v>
      </c>
      <c r="J16" s="199">
        <f t="shared" si="7"/>
        <v>93253</v>
      </c>
      <c r="K16" s="1295">
        <f t="shared" si="8"/>
        <v>93253</v>
      </c>
      <c r="L16" s="199" t="s">
        <v>234</v>
      </c>
      <c r="M16" s="1274"/>
      <c r="N16" s="1274"/>
      <c r="O16" s="1275"/>
      <c r="P16" s="1274"/>
      <c r="Q16" s="1274"/>
      <c r="R16" s="1274">
        <f t="shared" si="1"/>
        <v>0</v>
      </c>
      <c r="S16" s="1274">
        <f t="shared" si="2"/>
        <v>0</v>
      </c>
      <c r="T16" s="1316">
        <f t="shared" si="3"/>
        <v>0</v>
      </c>
    </row>
    <row r="17" spans="1:20" x14ac:dyDescent="0.2">
      <c r="A17" s="1313"/>
      <c r="B17" s="1270">
        <f t="shared" si="0"/>
        <v>9</v>
      </c>
      <c r="C17" s="1380" t="s">
        <v>208</v>
      </c>
      <c r="D17" s="199">
        <f>'közhatalmi bevételek'!D31</f>
        <v>456306</v>
      </c>
      <c r="E17" s="199">
        <f>'közhatalmi bevételek'!E31</f>
        <v>779014</v>
      </c>
      <c r="F17" s="199">
        <f>'közhatalmi bevételek'!F31</f>
        <v>1235320</v>
      </c>
      <c r="G17" s="199">
        <v>32180</v>
      </c>
      <c r="H17" s="199">
        <v>-32096</v>
      </c>
      <c r="I17" s="199">
        <f t="shared" si="6"/>
        <v>488486</v>
      </c>
      <c r="J17" s="199">
        <f t="shared" si="7"/>
        <v>746918</v>
      </c>
      <c r="K17" s="1295">
        <f t="shared" si="8"/>
        <v>1235404</v>
      </c>
      <c r="L17" s="199" t="s">
        <v>235</v>
      </c>
      <c r="M17" s="1274">
        <f>mc.pe.átad!D24</f>
        <v>5750</v>
      </c>
      <c r="N17" s="1274">
        <f>mc.pe.átad!E24</f>
        <v>45623</v>
      </c>
      <c r="O17" s="1274">
        <f>mc.pe.átad!F24</f>
        <v>51373</v>
      </c>
      <c r="P17" s="1274"/>
      <c r="Q17" s="1274">
        <v>18524</v>
      </c>
      <c r="R17" s="1274">
        <f t="shared" si="1"/>
        <v>5750</v>
      </c>
      <c r="S17" s="1274">
        <f t="shared" si="2"/>
        <v>64147</v>
      </c>
      <c r="T17" s="1316">
        <f t="shared" si="3"/>
        <v>69897</v>
      </c>
    </row>
    <row r="18" spans="1:20" x14ac:dyDescent="0.2">
      <c r="A18" s="1313"/>
      <c r="B18" s="1270">
        <f t="shared" si="0"/>
        <v>10</v>
      </c>
      <c r="C18" s="1383" t="s">
        <v>40</v>
      </c>
      <c r="D18" s="1275"/>
      <c r="E18" s="1275"/>
      <c r="F18" s="1275"/>
      <c r="G18" s="1275"/>
      <c r="H18" s="1275"/>
      <c r="I18" s="199"/>
      <c r="J18" s="199"/>
      <c r="K18" s="1295"/>
      <c r="L18" s="199" t="s">
        <v>236</v>
      </c>
      <c r="M18" s="1274">
        <f>mc.pe.átad!D63</f>
        <v>116685</v>
      </c>
      <c r="N18" s="1274">
        <f>mc.pe.átad!E63</f>
        <v>170408</v>
      </c>
      <c r="O18" s="1274">
        <f>mc.pe.átad!F63</f>
        <v>287093</v>
      </c>
      <c r="P18" s="1274">
        <v>34650</v>
      </c>
      <c r="Q18" s="1274">
        <v>375</v>
      </c>
      <c r="R18" s="1274">
        <f t="shared" si="1"/>
        <v>151335</v>
      </c>
      <c r="S18" s="1274">
        <f t="shared" si="2"/>
        <v>170783</v>
      </c>
      <c r="T18" s="1316">
        <f t="shared" si="3"/>
        <v>322118</v>
      </c>
    </row>
    <row r="19" spans="1:20" x14ac:dyDescent="0.2">
      <c r="A19" s="1313"/>
      <c r="B19" s="1270">
        <f t="shared" si="0"/>
        <v>11</v>
      </c>
      <c r="C19" s="1383"/>
      <c r="D19" s="1275"/>
      <c r="E19" s="1275"/>
      <c r="F19" s="1275"/>
      <c r="G19" s="1275"/>
      <c r="H19" s="1275"/>
      <c r="I19" s="199"/>
      <c r="J19" s="199"/>
      <c r="K19" s="1295"/>
      <c r="L19" s="199" t="s">
        <v>284</v>
      </c>
      <c r="M19" s="1274">
        <f>'műk. kiad. szakf Önkorm. '!AH66</f>
        <v>451</v>
      </c>
      <c r="N19" s="1274">
        <f>'műk. kiad. szakf Önkorm. '!AI66</f>
        <v>0</v>
      </c>
      <c r="O19" s="1274">
        <f>M19+N19</f>
        <v>451</v>
      </c>
      <c r="P19" s="1274"/>
      <c r="Q19" s="1274"/>
      <c r="R19" s="1274">
        <f t="shared" si="1"/>
        <v>451</v>
      </c>
      <c r="S19" s="1274">
        <f t="shared" si="2"/>
        <v>0</v>
      </c>
      <c r="T19" s="1316">
        <f t="shared" si="3"/>
        <v>451</v>
      </c>
    </row>
    <row r="20" spans="1:20" x14ac:dyDescent="0.2">
      <c r="A20" s="1313"/>
      <c r="B20" s="1270">
        <f t="shared" si="0"/>
        <v>12</v>
      </c>
      <c r="C20" s="1380" t="s">
        <v>209</v>
      </c>
      <c r="D20" s="1275">
        <v>40369</v>
      </c>
      <c r="E20" s="1275">
        <v>48340</v>
      </c>
      <c r="F20" s="1275">
        <f>SUM(D20:E20)</f>
        <v>88709</v>
      </c>
      <c r="G20" s="1275">
        <v>73</v>
      </c>
      <c r="H20" s="1275">
        <v>54231</v>
      </c>
      <c r="I20" s="199">
        <f t="shared" si="6"/>
        <v>40442</v>
      </c>
      <c r="J20" s="199">
        <f t="shared" si="7"/>
        <v>102571</v>
      </c>
      <c r="K20" s="1295">
        <f t="shared" si="8"/>
        <v>143013</v>
      </c>
      <c r="L20" s="199" t="s">
        <v>238</v>
      </c>
      <c r="M20" s="1274">
        <f>tartalék!C26</f>
        <v>0</v>
      </c>
      <c r="N20" s="1274">
        <f>tartalék!D26</f>
        <v>64029</v>
      </c>
      <c r="O20" s="1346">
        <f>SUM(M20:N20)</f>
        <v>64029</v>
      </c>
      <c r="P20" s="1274"/>
      <c r="Q20" s="1274">
        <v>-31047</v>
      </c>
      <c r="R20" s="1274">
        <f t="shared" si="1"/>
        <v>0</v>
      </c>
      <c r="S20" s="1274">
        <f t="shared" si="2"/>
        <v>32982</v>
      </c>
      <c r="T20" s="1316">
        <f t="shared" si="3"/>
        <v>32982</v>
      </c>
    </row>
    <row r="21" spans="1:20" x14ac:dyDescent="0.2">
      <c r="A21" s="1313"/>
      <c r="B21" s="1270">
        <f t="shared" si="0"/>
        <v>13</v>
      </c>
      <c r="C21" s="1384"/>
      <c r="D21" s="1275"/>
      <c r="E21" s="1275"/>
      <c r="F21" s="1275"/>
      <c r="G21" s="1275"/>
      <c r="H21" s="1275"/>
      <c r="I21" s="199"/>
      <c r="J21" s="199"/>
      <c r="K21" s="1295"/>
      <c r="L21" s="199" t="s">
        <v>285</v>
      </c>
      <c r="M21" s="1274">
        <f>tartalék!C34</f>
        <v>4083</v>
      </c>
      <c r="N21" s="1274">
        <f>tartalék!D34</f>
        <v>152</v>
      </c>
      <c r="O21" s="1274">
        <f>tartalék!E34</f>
        <v>4235</v>
      </c>
      <c r="P21" s="1274">
        <v>1041</v>
      </c>
      <c r="Q21" s="1274">
        <v>1419</v>
      </c>
      <c r="R21" s="1274">
        <f t="shared" si="1"/>
        <v>5124</v>
      </c>
      <c r="S21" s="1274">
        <f t="shared" si="2"/>
        <v>1571</v>
      </c>
      <c r="T21" s="1316">
        <f t="shared" si="3"/>
        <v>6695</v>
      </c>
    </row>
    <row r="22" spans="1:20" s="100" customFormat="1" x14ac:dyDescent="0.2">
      <c r="A22" s="1314"/>
      <c r="B22" s="1270">
        <f t="shared" si="0"/>
        <v>14</v>
      </c>
      <c r="C22" s="1384" t="s">
        <v>42</v>
      </c>
      <c r="D22" s="1275"/>
      <c r="E22" s="1275"/>
      <c r="F22" s="1275"/>
      <c r="G22" s="1275"/>
      <c r="H22" s="1275"/>
      <c r="I22" s="199"/>
      <c r="J22" s="199"/>
      <c r="K22" s="1295"/>
      <c r="L22" s="1274"/>
      <c r="M22" s="1274"/>
      <c r="N22" s="1274"/>
      <c r="O22" s="1274"/>
      <c r="P22" s="1289"/>
      <c r="Q22" s="1289"/>
      <c r="R22" s="1280"/>
      <c r="S22" s="1280"/>
      <c r="T22" s="1314"/>
    </row>
    <row r="23" spans="1:20" s="100" customFormat="1" x14ac:dyDescent="0.2">
      <c r="A23" s="1314"/>
      <c r="B23" s="1270">
        <f t="shared" si="0"/>
        <v>15</v>
      </c>
      <c r="C23" s="1384" t="s">
        <v>980</v>
      </c>
      <c r="D23" s="1275"/>
      <c r="E23" s="1275"/>
      <c r="F23" s="1275"/>
      <c r="G23" s="1275"/>
      <c r="H23" s="1275"/>
      <c r="I23" s="199"/>
      <c r="J23" s="199"/>
      <c r="K23" s="1295"/>
      <c r="L23" s="1274"/>
      <c r="M23" s="1274"/>
      <c r="N23" s="1274"/>
      <c r="O23" s="1274"/>
      <c r="P23" s="1289"/>
      <c r="Q23" s="1289"/>
      <c r="R23" s="1280"/>
      <c r="S23" s="1280"/>
      <c r="T23" s="1314"/>
    </row>
    <row r="24" spans="1:20" x14ac:dyDescent="0.2">
      <c r="A24" s="1313"/>
      <c r="B24" s="1270">
        <f t="shared" si="0"/>
        <v>16</v>
      </c>
      <c r="C24" s="1380" t="s">
        <v>979</v>
      </c>
      <c r="D24" s="1323"/>
      <c r="E24" s="199">
        <f>'felh. bev.  '!E13</f>
        <v>6740</v>
      </c>
      <c r="F24" s="1275">
        <f>SUM(D24:E24)</f>
        <v>6740</v>
      </c>
      <c r="G24" s="1275"/>
      <c r="H24" s="1275">
        <v>196721</v>
      </c>
      <c r="I24" s="199"/>
      <c r="J24" s="199">
        <f t="shared" si="7"/>
        <v>203461</v>
      </c>
      <c r="K24" s="1295">
        <f t="shared" si="8"/>
        <v>203461</v>
      </c>
      <c r="L24" s="1283" t="s">
        <v>66</v>
      </c>
      <c r="M24" s="1283">
        <f t="shared" ref="M24:R24" si="10">SUM(M10:M22)</f>
        <v>488932</v>
      </c>
      <c r="N24" s="1283">
        <f t="shared" si="10"/>
        <v>537961.32000000007</v>
      </c>
      <c r="O24" s="1283">
        <f t="shared" si="10"/>
        <v>1026893.3200000001</v>
      </c>
      <c r="P24" s="1282">
        <f t="shared" si="10"/>
        <v>38679</v>
      </c>
      <c r="Q24" s="1282">
        <f t="shared" si="10"/>
        <v>43443</v>
      </c>
      <c r="R24" s="1282">
        <f t="shared" si="10"/>
        <v>527611</v>
      </c>
      <c r="S24" s="1282">
        <f t="shared" ref="S24:T24" si="11">SUM(S10:S22)</f>
        <v>581404.32000000007</v>
      </c>
      <c r="T24" s="1363">
        <f t="shared" si="11"/>
        <v>1109015.32</v>
      </c>
    </row>
    <row r="25" spans="1:20" x14ac:dyDescent="0.2">
      <c r="A25" s="1313"/>
      <c r="B25" s="1270">
        <f t="shared" si="0"/>
        <v>17</v>
      </c>
      <c r="C25" s="1380" t="s">
        <v>214</v>
      </c>
      <c r="D25" s="1275">
        <f>'felh. bev.  '!D14+'felh. bev.  '!D15</f>
        <v>0</v>
      </c>
      <c r="E25" s="1275">
        <f>'felh. bev.  '!E14+'felh. bev.  '!E15</f>
        <v>0</v>
      </c>
      <c r="F25" s="1275">
        <f>SUM(D25:E25)</f>
        <v>0</v>
      </c>
      <c r="G25" s="1275"/>
      <c r="H25" s="1275">
        <v>4136</v>
      </c>
      <c r="I25" s="199"/>
      <c r="J25" s="199">
        <f t="shared" si="7"/>
        <v>4136</v>
      </c>
      <c r="K25" s="1295">
        <f t="shared" si="8"/>
        <v>4136</v>
      </c>
      <c r="L25" s="1274"/>
      <c r="M25" s="1274"/>
      <c r="N25" s="1274"/>
      <c r="O25" s="1274"/>
      <c r="P25" s="1274"/>
      <c r="Q25" s="1274"/>
      <c r="R25" s="205"/>
      <c r="S25" s="205"/>
      <c r="T25" s="1313"/>
    </row>
    <row r="26" spans="1:20" x14ac:dyDescent="0.2">
      <c r="A26" s="1313"/>
      <c r="B26" s="1270">
        <f t="shared" si="0"/>
        <v>18</v>
      </c>
      <c r="C26" s="1380" t="s">
        <v>215</v>
      </c>
      <c r="D26" s="199">
        <f>'felh. bev.  '!D21</f>
        <v>0</v>
      </c>
      <c r="E26" s="199">
        <f>'felh. bev.  '!E21</f>
        <v>0</v>
      </c>
      <c r="F26" s="199">
        <f>'felh. bev.  '!F21</f>
        <v>0</v>
      </c>
      <c r="G26" s="199"/>
      <c r="H26" s="199"/>
      <c r="I26" s="199"/>
      <c r="J26" s="199"/>
      <c r="K26" s="1295"/>
      <c r="L26" s="1319" t="s">
        <v>34</v>
      </c>
      <c r="M26" s="1273"/>
      <c r="N26" s="1273"/>
      <c r="O26" s="1274"/>
      <c r="P26" s="1274"/>
      <c r="Q26" s="1274"/>
      <c r="R26" s="205"/>
      <c r="S26" s="205"/>
      <c r="T26" s="1313"/>
    </row>
    <row r="27" spans="1:20" x14ac:dyDescent="0.2">
      <c r="A27" s="1313"/>
      <c r="B27" s="1270">
        <f t="shared" si="0"/>
        <v>19</v>
      </c>
      <c r="C27" s="1380" t="s">
        <v>216</v>
      </c>
      <c r="D27" s="199"/>
      <c r="E27" s="199"/>
      <c r="F27" s="199"/>
      <c r="G27" s="199"/>
      <c r="H27" s="199"/>
      <c r="I27" s="199"/>
      <c r="J27" s="199"/>
      <c r="K27" s="1295"/>
      <c r="L27" s="199" t="s">
        <v>287</v>
      </c>
      <c r="M27" s="1274">
        <f>'felhalm. kiad.  '!M15+'felhalm. kiad.  '!M51+'felhalm. kiad.  '!M64+'felhalm. kiad.  '!M79</f>
        <v>1993459</v>
      </c>
      <c r="N27" s="1274">
        <f>'felhalm. kiad.  '!P15+'felhalm. kiad.  '!P51+'felhalm. kiad.  '!P64+'felhalm. kiad.  '!P69+'felhalm. kiad.  '!P79+'felhalm. kiad.  '!P143</f>
        <v>142768</v>
      </c>
      <c r="O27" s="1274">
        <f>SUM(M27:N27)</f>
        <v>2136227</v>
      </c>
      <c r="P27" s="1274">
        <v>84360</v>
      </c>
      <c r="Q27" s="1274"/>
      <c r="R27" s="1274">
        <f>M27+P27</f>
        <v>2077819</v>
      </c>
      <c r="S27" s="1274">
        <f>N27+Q27</f>
        <v>142768</v>
      </c>
      <c r="T27" s="1316">
        <f>R27+S27</f>
        <v>2220587</v>
      </c>
    </row>
    <row r="28" spans="1:20" x14ac:dyDescent="0.2">
      <c r="A28" s="1313"/>
      <c r="B28" s="1270">
        <f t="shared" si="0"/>
        <v>20</v>
      </c>
      <c r="C28" s="1380"/>
      <c r="D28" s="199"/>
      <c r="E28" s="199"/>
      <c r="F28" s="199"/>
      <c r="G28" s="199"/>
      <c r="H28" s="199"/>
      <c r="I28" s="199"/>
      <c r="J28" s="199"/>
      <c r="K28" s="1295"/>
      <c r="L28" s="199" t="s">
        <v>242</v>
      </c>
      <c r="M28" s="1274">
        <f>'felhalm. kiad.  '!M21</f>
        <v>10000</v>
      </c>
      <c r="N28" s="1274">
        <f>'felhalm. kiad.  '!P21</f>
        <v>0</v>
      </c>
      <c r="O28" s="1274">
        <f>SUM(M28:N28)</f>
        <v>10000</v>
      </c>
      <c r="P28" s="1274">
        <v>448</v>
      </c>
      <c r="Q28" s="1274"/>
      <c r="R28" s="1274">
        <f t="shared" ref="R28:R32" si="12">M28+P28</f>
        <v>10448</v>
      </c>
      <c r="S28" s="1274">
        <f t="shared" ref="S28:S32" si="13">N28+Q28</f>
        <v>0</v>
      </c>
      <c r="T28" s="1316">
        <f t="shared" ref="T28:T32" si="14">R28+S28</f>
        <v>10448</v>
      </c>
    </row>
    <row r="29" spans="1:20" x14ac:dyDescent="0.2">
      <c r="A29" s="1313"/>
      <c r="B29" s="1270">
        <f t="shared" si="0"/>
        <v>21</v>
      </c>
      <c r="C29" s="1384" t="s">
        <v>217</v>
      </c>
      <c r="D29" s="199">
        <f>'tám, végl. pe.átv  '!C45</f>
        <v>0</v>
      </c>
      <c r="E29" s="199">
        <f>'tám, végl. pe.átv  '!D45</f>
        <v>62024</v>
      </c>
      <c r="F29" s="199">
        <f>'tám, végl. pe.átv  '!E45</f>
        <v>62024</v>
      </c>
      <c r="G29" s="199"/>
      <c r="H29" s="199"/>
      <c r="I29" s="199"/>
      <c r="J29" s="199">
        <f t="shared" si="7"/>
        <v>62024</v>
      </c>
      <c r="K29" s="1295">
        <f t="shared" si="8"/>
        <v>62024</v>
      </c>
      <c r="L29" s="199" t="s">
        <v>243</v>
      </c>
      <c r="M29" s="1274"/>
      <c r="N29" s="1274"/>
      <c r="O29" s="1274"/>
      <c r="P29" s="1274"/>
      <c r="Q29" s="1274"/>
      <c r="R29" s="1274"/>
      <c r="S29" s="1274"/>
      <c r="T29" s="1316"/>
    </row>
    <row r="30" spans="1:20" s="100" customFormat="1" x14ac:dyDescent="0.2">
      <c r="A30" s="1314"/>
      <c r="B30" s="1270">
        <f t="shared" si="0"/>
        <v>22</v>
      </c>
      <c r="C30" s="1384" t="s">
        <v>283</v>
      </c>
      <c r="D30" s="199">
        <f>'felh. bev.  '!D29+'felh. bev.  '!D35</f>
        <v>0</v>
      </c>
      <c r="E30" s="199">
        <f>'felh. bev.  '!E29+'felh. bev.  '!E35</f>
        <v>2870</v>
      </c>
      <c r="F30" s="199">
        <f>'felh. bev.  '!F29+'felh. bev.  '!F35</f>
        <v>2870</v>
      </c>
      <c r="G30" s="199"/>
      <c r="H30" s="199"/>
      <c r="I30" s="199"/>
      <c r="J30" s="199">
        <f t="shared" si="7"/>
        <v>2870</v>
      </c>
      <c r="K30" s="1295">
        <f t="shared" si="8"/>
        <v>2870</v>
      </c>
      <c r="L30" s="199" t="s">
        <v>245</v>
      </c>
      <c r="M30" s="1274"/>
      <c r="N30" s="1274"/>
      <c r="O30" s="1274"/>
      <c r="P30" s="1289"/>
      <c r="Q30" s="1274">
        <v>3238</v>
      </c>
      <c r="R30" s="1274">
        <f t="shared" si="12"/>
        <v>0</v>
      </c>
      <c r="S30" s="1274">
        <f t="shared" si="13"/>
        <v>3238</v>
      </c>
      <c r="T30" s="1316">
        <f t="shared" si="14"/>
        <v>3238</v>
      </c>
    </row>
    <row r="31" spans="1:20" x14ac:dyDescent="0.2">
      <c r="A31" s="1313"/>
      <c r="B31" s="1270">
        <f t="shared" si="0"/>
        <v>23</v>
      </c>
      <c r="C31" s="1384"/>
      <c r="D31" s="199"/>
      <c r="E31" s="199"/>
      <c r="F31" s="199"/>
      <c r="G31" s="199"/>
      <c r="H31" s="199"/>
      <c r="I31" s="199"/>
      <c r="J31" s="199"/>
      <c r="K31" s="1295"/>
      <c r="L31" s="199" t="s">
        <v>244</v>
      </c>
      <c r="M31" s="1274">
        <f>'felhalm. kiad.  '!M96+'felhalm. kiad.  '!M102</f>
        <v>33252</v>
      </c>
      <c r="N31" s="1274">
        <f>'felhalm. kiad.  '!P96+'felhalm. kiad.  '!P102</f>
        <v>35820</v>
      </c>
      <c r="O31" s="1274">
        <f>SUM(M31:N31)</f>
        <v>69072</v>
      </c>
      <c r="P31" s="1274">
        <v>15600</v>
      </c>
      <c r="Q31" s="1274">
        <v>-300</v>
      </c>
      <c r="R31" s="1274">
        <f t="shared" si="12"/>
        <v>48852</v>
      </c>
      <c r="S31" s="1274">
        <f t="shared" si="13"/>
        <v>35520</v>
      </c>
      <c r="T31" s="1316">
        <f t="shared" si="14"/>
        <v>84372</v>
      </c>
    </row>
    <row r="32" spans="1:20" s="11" customFormat="1" x14ac:dyDescent="0.2">
      <c r="A32" s="1315"/>
      <c r="B32" s="1270">
        <f t="shared" si="0"/>
        <v>24</v>
      </c>
      <c r="C32" s="1385" t="s">
        <v>52</v>
      </c>
      <c r="D32" s="1347">
        <f>D12+D20+D11+D17+D13</f>
        <v>1247885</v>
      </c>
      <c r="E32" s="1347">
        <f>E12+E20+E11+E17+E13+E29</f>
        <v>985597</v>
      </c>
      <c r="F32" s="1347">
        <f>F12+F20+F11+F17+F13+F29</f>
        <v>2233482</v>
      </c>
      <c r="G32" s="1347">
        <f>G11+G13+G17+G20</f>
        <v>25304</v>
      </c>
      <c r="H32" s="1347">
        <f>H11+H13+H17+H20</f>
        <v>24603</v>
      </c>
      <c r="I32" s="1347">
        <f>I11+I13+I17+I20+I29</f>
        <v>1273189</v>
      </c>
      <c r="J32" s="1347">
        <f>J11+J13+J17+J20+J29</f>
        <v>1010200</v>
      </c>
      <c r="K32" s="1359">
        <f>K11+K13+K17+K20+K29</f>
        <v>2283389</v>
      </c>
      <c r="L32" s="199" t="s">
        <v>286</v>
      </c>
      <c r="M32" s="1274">
        <f>tartalék!C20</f>
        <v>343892</v>
      </c>
      <c r="N32" s="1274">
        <f>tartalék!D20</f>
        <v>0</v>
      </c>
      <c r="O32" s="1274">
        <f>tartalék!E20</f>
        <v>343892</v>
      </c>
      <c r="P32" s="1274">
        <v>-105158</v>
      </c>
      <c r="Q32" s="1274">
        <v>143934</v>
      </c>
      <c r="R32" s="1274">
        <f t="shared" si="12"/>
        <v>238734</v>
      </c>
      <c r="S32" s="1274">
        <f t="shared" si="13"/>
        <v>143934</v>
      </c>
      <c r="T32" s="1316">
        <f t="shared" si="14"/>
        <v>382668</v>
      </c>
    </row>
    <row r="33" spans="1:20" x14ac:dyDescent="0.2">
      <c r="A33" s="1313"/>
      <c r="B33" s="1376">
        <f t="shared" si="0"/>
        <v>25</v>
      </c>
      <c r="C33" s="1287" t="s">
        <v>67</v>
      </c>
      <c r="D33" s="1283">
        <f>D14+D23+D24+D25+D26+D27+D30</f>
        <v>0</v>
      </c>
      <c r="E33" s="1283">
        <f>E14+E23+E24+E25+E26+E27+E30</f>
        <v>9610</v>
      </c>
      <c r="F33" s="1283">
        <f>F14+F23+F24+F25+F26+F27+F30</f>
        <v>9610</v>
      </c>
      <c r="G33" s="1283">
        <f>G15+G16+G23+G24+G25+G26+G30</f>
        <v>8750</v>
      </c>
      <c r="H33" s="1283">
        <f t="shared" ref="H33:K33" si="15">H15+H16+H23+H24+H25+H26+H30</f>
        <v>200857</v>
      </c>
      <c r="I33" s="1283">
        <f t="shared" si="15"/>
        <v>8750</v>
      </c>
      <c r="J33" s="1283">
        <f t="shared" si="15"/>
        <v>303720</v>
      </c>
      <c r="K33" s="1329">
        <f t="shared" si="15"/>
        <v>312470</v>
      </c>
      <c r="L33" s="1321" t="s">
        <v>68</v>
      </c>
      <c r="M33" s="1283">
        <f t="shared" ref="M33:R33" si="16">SUM(M27:M32)</f>
        <v>2380603</v>
      </c>
      <c r="N33" s="1283">
        <f t="shared" si="16"/>
        <v>178588</v>
      </c>
      <c r="O33" s="1283">
        <f t="shared" si="16"/>
        <v>2559191</v>
      </c>
      <c r="P33" s="1283">
        <f t="shared" si="16"/>
        <v>-4750</v>
      </c>
      <c r="Q33" s="1283">
        <f t="shared" si="16"/>
        <v>146872</v>
      </c>
      <c r="R33" s="1283">
        <f t="shared" si="16"/>
        <v>2375853</v>
      </c>
      <c r="S33" s="1283">
        <f t="shared" ref="S33:T33" si="17">SUM(S27:S32)</f>
        <v>325460</v>
      </c>
      <c r="T33" s="1329">
        <f t="shared" si="17"/>
        <v>2701313</v>
      </c>
    </row>
    <row r="34" spans="1:20" x14ac:dyDescent="0.2">
      <c r="A34" s="1313"/>
      <c r="B34" s="1376">
        <f t="shared" si="0"/>
        <v>26</v>
      </c>
      <c r="C34" s="126" t="s">
        <v>51</v>
      </c>
      <c r="D34" s="1273">
        <f>SUM(D32:D33)</f>
        <v>1247885</v>
      </c>
      <c r="E34" s="1273">
        <f>SUM(E32:E33)</f>
        <v>995207</v>
      </c>
      <c r="F34" s="1273">
        <f>SUM(D34:E34)</f>
        <v>2243092</v>
      </c>
      <c r="G34" s="1273">
        <f>G32+G33</f>
        <v>34054</v>
      </c>
      <c r="H34" s="1273">
        <f t="shared" ref="H34:K34" si="18">H32+H33</f>
        <v>225460</v>
      </c>
      <c r="I34" s="1273">
        <f t="shared" si="18"/>
        <v>1281939</v>
      </c>
      <c r="J34" s="1273">
        <f t="shared" si="18"/>
        <v>1313920</v>
      </c>
      <c r="K34" s="1331">
        <f t="shared" si="18"/>
        <v>2595859</v>
      </c>
      <c r="L34" s="1273" t="s">
        <v>69</v>
      </c>
      <c r="M34" s="1273">
        <f t="shared" ref="M34:R34" si="19">M24+M33</f>
        <v>2869535</v>
      </c>
      <c r="N34" s="1273">
        <f t="shared" si="19"/>
        <v>716549.32000000007</v>
      </c>
      <c r="O34" s="1273">
        <f t="shared" si="19"/>
        <v>3586084.3200000003</v>
      </c>
      <c r="P34" s="124">
        <f t="shared" si="19"/>
        <v>33929</v>
      </c>
      <c r="Q34" s="124">
        <f t="shared" si="19"/>
        <v>190315</v>
      </c>
      <c r="R34" s="124">
        <f t="shared" si="19"/>
        <v>2903464</v>
      </c>
      <c r="S34" s="1273">
        <f>S24+S33</f>
        <v>906864.32000000007</v>
      </c>
      <c r="T34" s="1331">
        <f>T24+T33</f>
        <v>3810328.3200000003</v>
      </c>
    </row>
    <row r="35" spans="1:20" x14ac:dyDescent="0.2">
      <c r="A35" s="1313"/>
      <c r="B35" s="1376">
        <f t="shared" si="0"/>
        <v>27</v>
      </c>
      <c r="C35" s="1279"/>
      <c r="D35" s="1274"/>
      <c r="E35" s="1274"/>
      <c r="F35" s="1274"/>
      <c r="G35" s="1274"/>
      <c r="H35" s="1274"/>
      <c r="I35" s="1274"/>
      <c r="J35" s="1274"/>
      <c r="K35" s="1316"/>
      <c r="L35" s="1274"/>
      <c r="M35" s="1274"/>
      <c r="N35" s="1274"/>
      <c r="O35" s="1274"/>
      <c r="P35" s="1274"/>
      <c r="Q35" s="1274"/>
      <c r="R35" s="205"/>
      <c r="S35" s="205"/>
      <c r="T35" s="1313"/>
    </row>
    <row r="36" spans="1:20" x14ac:dyDescent="0.2">
      <c r="A36" s="1313"/>
      <c r="B36" s="1376">
        <f t="shared" si="0"/>
        <v>28</v>
      </c>
      <c r="C36" s="126" t="s">
        <v>23</v>
      </c>
      <c r="D36" s="1273">
        <f>D34-M34</f>
        <v>-1621650</v>
      </c>
      <c r="E36" s="1273">
        <f>E34-N34</f>
        <v>278657.67999999993</v>
      </c>
      <c r="F36" s="1273">
        <f>F34-O34</f>
        <v>-1342992.3200000003</v>
      </c>
      <c r="G36" s="1273">
        <f t="shared" ref="G36:K36" si="20">G34-P34</f>
        <v>125</v>
      </c>
      <c r="H36" s="1273">
        <f t="shared" si="20"/>
        <v>35145</v>
      </c>
      <c r="I36" s="1273">
        <f t="shared" si="20"/>
        <v>-1621525</v>
      </c>
      <c r="J36" s="1273">
        <f t="shared" si="20"/>
        <v>407055.67999999993</v>
      </c>
      <c r="K36" s="1331">
        <f t="shared" si="20"/>
        <v>-1214469.3200000003</v>
      </c>
      <c r="L36" s="1283"/>
      <c r="M36" s="1283"/>
      <c r="N36" s="1283"/>
      <c r="O36" s="1283"/>
      <c r="P36" s="1274"/>
      <c r="Q36" s="1274"/>
      <c r="R36" s="205"/>
      <c r="S36" s="205"/>
      <c r="T36" s="1313"/>
    </row>
    <row r="37" spans="1:20" s="11" customFormat="1" x14ac:dyDescent="0.2">
      <c r="A37" s="1315"/>
      <c r="B37" s="1376">
        <f t="shared" si="0"/>
        <v>29</v>
      </c>
      <c r="C37" s="1279"/>
      <c r="D37" s="1274"/>
      <c r="E37" s="1274"/>
      <c r="F37" s="1274"/>
      <c r="G37" s="1274"/>
      <c r="H37" s="1274"/>
      <c r="I37" s="1274"/>
      <c r="J37" s="1274"/>
      <c r="K37" s="1316"/>
      <c r="L37" s="1274"/>
      <c r="M37" s="1274"/>
      <c r="N37" s="1274"/>
      <c r="O37" s="1274"/>
      <c r="P37" s="1273"/>
      <c r="Q37" s="1273"/>
      <c r="R37" s="1286"/>
      <c r="S37" s="1286"/>
      <c r="T37" s="1315"/>
    </row>
    <row r="38" spans="1:20" s="11" customFormat="1" x14ac:dyDescent="0.2">
      <c r="A38" s="1315"/>
      <c r="B38" s="1376">
        <f t="shared" si="0"/>
        <v>30</v>
      </c>
      <c r="C38" s="1272" t="s">
        <v>53</v>
      </c>
      <c r="D38" s="1319"/>
      <c r="E38" s="1319"/>
      <c r="F38" s="1319"/>
      <c r="G38" s="1319"/>
      <c r="H38" s="1319"/>
      <c r="I38" s="1319"/>
      <c r="J38" s="1319"/>
      <c r="K38" s="1320"/>
      <c r="L38" s="1319" t="s">
        <v>33</v>
      </c>
      <c r="M38" s="1273"/>
      <c r="N38" s="1273"/>
      <c r="O38" s="1273"/>
      <c r="P38" s="1273"/>
      <c r="Q38" s="1273"/>
      <c r="R38" s="1286"/>
      <c r="S38" s="1286"/>
      <c r="T38" s="1315"/>
    </row>
    <row r="39" spans="1:20" s="11" customFormat="1" x14ac:dyDescent="0.2">
      <c r="A39" s="1315"/>
      <c r="B39" s="1376">
        <f t="shared" si="0"/>
        <v>31</v>
      </c>
      <c r="C39" s="1290" t="s">
        <v>725</v>
      </c>
      <c r="D39" s="1319"/>
      <c r="E39" s="1319"/>
      <c r="F39" s="1319"/>
      <c r="G39" s="1319"/>
      <c r="H39" s="1319"/>
      <c r="I39" s="1319"/>
      <c r="J39" s="1319"/>
      <c r="K39" s="1320"/>
      <c r="L39" s="1348" t="s">
        <v>4</v>
      </c>
      <c r="M39" s="1273"/>
      <c r="N39" s="1286"/>
      <c r="O39" s="1286"/>
      <c r="P39" s="1273"/>
      <c r="Q39" s="1273"/>
      <c r="R39" s="1286"/>
      <c r="S39" s="1286"/>
      <c r="T39" s="1315"/>
    </row>
    <row r="40" spans="1:20" s="11" customFormat="1" ht="22.5" customHeight="1" x14ac:dyDescent="0.2">
      <c r="A40" s="1315"/>
      <c r="B40" s="1376">
        <f t="shared" si="0"/>
        <v>32</v>
      </c>
      <c r="C40" s="1349" t="s">
        <v>1071</v>
      </c>
      <c r="D40" s="1354">
        <v>1243160</v>
      </c>
      <c r="E40" s="1355"/>
      <c r="F40" s="1356">
        <f>SUM(D40:E40)</f>
        <v>1243160</v>
      </c>
      <c r="G40" s="1356"/>
      <c r="H40" s="1356"/>
      <c r="I40" s="1356">
        <f>D40+G40</f>
        <v>1243160</v>
      </c>
      <c r="J40" s="1356">
        <f>E40+H40</f>
        <v>0</v>
      </c>
      <c r="K40" s="1360">
        <f>I40+J40</f>
        <v>1243160</v>
      </c>
      <c r="L40" s="78" t="s">
        <v>3</v>
      </c>
      <c r="M40" s="1273"/>
      <c r="N40" s="1273"/>
      <c r="O40" s="1273"/>
      <c r="P40" s="1273"/>
      <c r="Q40" s="1273"/>
      <c r="R40" s="1286"/>
      <c r="S40" s="1286"/>
      <c r="T40" s="1315"/>
    </row>
    <row r="41" spans="1:20" x14ac:dyDescent="0.2">
      <c r="A41" s="1313"/>
      <c r="B41" s="1376">
        <f t="shared" si="0"/>
        <v>33</v>
      </c>
      <c r="C41" s="95" t="s">
        <v>727</v>
      </c>
      <c r="D41" s="1350"/>
      <c r="E41" s="1348"/>
      <c r="F41" s="1348">
        <f>SUM(D41:E41)</f>
        <v>0</v>
      </c>
      <c r="G41" s="1348"/>
      <c r="H41" s="1348"/>
      <c r="I41" s="1348"/>
      <c r="J41" s="1348"/>
      <c r="K41" s="1361"/>
      <c r="L41" s="199" t="s">
        <v>5</v>
      </c>
      <c r="M41" s="1273"/>
      <c r="N41" s="1273"/>
      <c r="O41" s="1273"/>
      <c r="P41" s="1274"/>
      <c r="Q41" s="1274"/>
      <c r="R41" s="205"/>
      <c r="S41" s="205"/>
      <c r="T41" s="1313"/>
    </row>
    <row r="42" spans="1:20" x14ac:dyDescent="0.2">
      <c r="A42" s="1313"/>
      <c r="B42" s="1376">
        <f t="shared" si="0"/>
        <v>34</v>
      </c>
      <c r="C42" s="95" t="s">
        <v>222</v>
      </c>
      <c r="D42" s="199"/>
      <c r="E42" s="199"/>
      <c r="F42" s="199"/>
      <c r="G42" s="199"/>
      <c r="H42" s="199"/>
      <c r="I42" s="199"/>
      <c r="J42" s="199"/>
      <c r="K42" s="1295"/>
      <c r="L42" s="199" t="s">
        <v>6</v>
      </c>
      <c r="M42" s="1273"/>
      <c r="N42" s="1273"/>
      <c r="O42" s="1273"/>
      <c r="P42" s="1274"/>
      <c r="Q42" s="1274"/>
      <c r="R42" s="205"/>
      <c r="S42" s="205"/>
      <c r="T42" s="1313"/>
    </row>
    <row r="43" spans="1:20" x14ac:dyDescent="0.2">
      <c r="A43" s="1313"/>
      <c r="B43" s="1376">
        <f t="shared" si="0"/>
        <v>35</v>
      </c>
      <c r="C43" s="1292" t="s">
        <v>223</v>
      </c>
      <c r="D43" s="199">
        <v>1193985</v>
      </c>
      <c r="E43" s="199">
        <v>160130</v>
      </c>
      <c r="F43" s="199">
        <f>D43+E43</f>
        <v>1354115</v>
      </c>
      <c r="G43" s="199"/>
      <c r="H43" s="199">
        <v>-1535</v>
      </c>
      <c r="I43" s="199">
        <f>D43+G43</f>
        <v>1193985</v>
      </c>
      <c r="J43" s="199">
        <f>E43+H43</f>
        <v>158595</v>
      </c>
      <c r="K43" s="1295">
        <f>I43+J43</f>
        <v>1352580</v>
      </c>
      <c r="L43" s="199" t="s">
        <v>7</v>
      </c>
      <c r="M43" s="1273"/>
      <c r="N43" s="1273"/>
      <c r="O43" s="1273"/>
      <c r="P43" s="1274"/>
      <c r="Q43" s="1274"/>
      <c r="R43" s="205"/>
      <c r="S43" s="205"/>
      <c r="T43" s="1313"/>
    </row>
    <row r="44" spans="1:20" x14ac:dyDescent="0.2">
      <c r="A44" s="1313"/>
      <c r="B44" s="1376">
        <f t="shared" si="0"/>
        <v>36</v>
      </c>
      <c r="C44" s="1292" t="s">
        <v>1012</v>
      </c>
      <c r="D44" s="199"/>
      <c r="E44" s="199"/>
      <c r="F44" s="199"/>
      <c r="G44" s="199"/>
      <c r="H44" s="199"/>
      <c r="I44" s="199"/>
      <c r="J44" s="199"/>
      <c r="K44" s="1295"/>
      <c r="L44" s="199"/>
      <c r="M44" s="1273"/>
      <c r="N44" s="1273"/>
      <c r="O44" s="1273"/>
      <c r="P44" s="1274"/>
      <c r="Q44" s="1274"/>
      <c r="R44" s="205"/>
      <c r="S44" s="205"/>
      <c r="T44" s="1313"/>
    </row>
    <row r="45" spans="1:20" x14ac:dyDescent="0.2">
      <c r="A45" s="1313"/>
      <c r="B45" s="1376">
        <f t="shared" si="0"/>
        <v>37</v>
      </c>
      <c r="C45" s="95" t="s">
        <v>728</v>
      </c>
      <c r="D45" s="199"/>
      <c r="E45" s="199"/>
      <c r="F45" s="199"/>
      <c r="G45" s="199">
        <v>1164</v>
      </c>
      <c r="H45" s="199"/>
      <c r="I45" s="199">
        <f t="shared" ref="I45" si="21">D45+G45</f>
        <v>1164</v>
      </c>
      <c r="J45" s="199">
        <f>E45+H45</f>
        <v>0</v>
      </c>
      <c r="K45" s="1295">
        <f t="shared" ref="K45" si="22">I45+J45</f>
        <v>1164</v>
      </c>
      <c r="L45" s="199" t="s">
        <v>8</v>
      </c>
      <c r="M45" s="1273"/>
      <c r="N45" s="1273"/>
      <c r="O45" s="1274"/>
      <c r="P45" s="1274"/>
      <c r="Q45" s="1274"/>
      <c r="R45" s="205"/>
      <c r="S45" s="205"/>
      <c r="T45" s="1313"/>
    </row>
    <row r="46" spans="1:20" x14ac:dyDescent="0.2">
      <c r="A46" s="1313"/>
      <c r="B46" s="1376">
        <f t="shared" si="0"/>
        <v>38</v>
      </c>
      <c r="C46" s="95" t="s">
        <v>729</v>
      </c>
      <c r="D46" s="1319"/>
      <c r="E46" s="1319"/>
      <c r="F46" s="1319"/>
      <c r="G46" s="1319"/>
      <c r="H46" s="1319"/>
      <c r="I46" s="1319"/>
      <c r="J46" s="1319"/>
      <c r="K46" s="1320"/>
      <c r="L46" s="199" t="s">
        <v>288</v>
      </c>
      <c r="M46" s="1274">
        <f>24026+3667</f>
        <v>27693</v>
      </c>
      <c r="N46" s="1274">
        <f>3062+689</f>
        <v>3751</v>
      </c>
      <c r="O46" s="1274">
        <f>SUM(M46:N46)</f>
        <v>31444</v>
      </c>
      <c r="P46" s="1274">
        <v>1164</v>
      </c>
      <c r="Q46" s="1274"/>
      <c r="R46" s="1274">
        <f>M46+P46</f>
        <v>28857</v>
      </c>
      <c r="S46" s="1274">
        <f>N46+Q46</f>
        <v>3751</v>
      </c>
      <c r="T46" s="1316">
        <f>R46+S46</f>
        <v>32608</v>
      </c>
    </row>
    <row r="47" spans="1:20" x14ac:dyDescent="0.2">
      <c r="A47" s="1313"/>
      <c r="B47" s="1376">
        <f t="shared" si="0"/>
        <v>39</v>
      </c>
      <c r="C47" s="95" t="s">
        <v>730</v>
      </c>
      <c r="D47" s="199"/>
      <c r="E47" s="199"/>
      <c r="F47" s="199"/>
      <c r="G47" s="199"/>
      <c r="H47" s="199"/>
      <c r="I47" s="199"/>
      <c r="J47" s="199"/>
      <c r="K47" s="1295"/>
      <c r="L47" s="199" t="s">
        <v>253</v>
      </c>
      <c r="M47" s="1274"/>
      <c r="N47" s="1274"/>
      <c r="O47" s="1274"/>
      <c r="P47" s="1274"/>
      <c r="Q47" s="1274"/>
      <c r="R47" s="1274">
        <f t="shared" ref="R47:R49" si="23">M47+P47</f>
        <v>0</v>
      </c>
      <c r="S47" s="1274">
        <f t="shared" ref="S47:S49" si="24">N47+Q47</f>
        <v>0</v>
      </c>
      <c r="T47" s="1316">
        <f t="shared" ref="T47:T49" si="25">R47+S47</f>
        <v>0</v>
      </c>
    </row>
    <row r="48" spans="1:20" x14ac:dyDescent="0.2">
      <c r="A48" s="1313"/>
      <c r="B48" s="1376">
        <f t="shared" si="0"/>
        <v>40</v>
      </c>
      <c r="C48" s="95" t="s">
        <v>731</v>
      </c>
      <c r="D48" s="199"/>
      <c r="E48" s="199"/>
      <c r="F48" s="199"/>
      <c r="G48" s="199"/>
      <c r="H48" s="199"/>
      <c r="I48" s="199"/>
      <c r="J48" s="199"/>
      <c r="K48" s="1295"/>
      <c r="L48" s="1351" t="s">
        <v>254</v>
      </c>
      <c r="M48" s="1274">
        <f>'pü.mérleg Hivatal'!D48+'püm. GAMESZ. '!C48+'püm-TASZII.'!D48+püm.Brunszvik!D48+'püm Festetics'!D48</f>
        <v>765347</v>
      </c>
      <c r="N48" s="1274">
        <f>'pü.mérleg Hivatal'!E48+'püm. GAMESZ. '!D48+'püm-TASZII.'!E48+püm.Brunszvik!E48+'püm Festetics'!E48</f>
        <v>514585</v>
      </c>
      <c r="O48" s="1274">
        <f>SUM(M48:N48)</f>
        <v>1279932</v>
      </c>
      <c r="P48" s="1274">
        <v>8005</v>
      </c>
      <c r="Q48" s="1274">
        <v>28727</v>
      </c>
      <c r="R48" s="1274">
        <f t="shared" si="23"/>
        <v>773352</v>
      </c>
      <c r="S48" s="1274">
        <f t="shared" si="24"/>
        <v>543312</v>
      </c>
      <c r="T48" s="1316">
        <f t="shared" si="25"/>
        <v>1316664</v>
      </c>
    </row>
    <row r="49" spans="1:20" x14ac:dyDescent="0.2">
      <c r="A49" s="1313"/>
      <c r="B49" s="1376">
        <f t="shared" si="0"/>
        <v>41</v>
      </c>
      <c r="C49" s="95" t="s">
        <v>0</v>
      </c>
      <c r="D49" s="199"/>
      <c r="E49" s="199"/>
      <c r="F49" s="199"/>
      <c r="G49" s="199"/>
      <c r="H49" s="199"/>
      <c r="I49" s="199"/>
      <c r="J49" s="199"/>
      <c r="K49" s="1295"/>
      <c r="L49" s="1351" t="s">
        <v>255</v>
      </c>
      <c r="M49" s="1274">
        <f>'pü.mérleg Hivatal'!D49+'püm. GAMESZ. '!C49+'püm-TASZII.'!D49+püm.Brunszvik!D49+'püm Festetics'!D49</f>
        <v>22455</v>
      </c>
      <c r="N49" s="1274">
        <f>'pü.mérleg Hivatal'!E49+'püm. GAMESZ. '!D49+püm.Brunszvik!E49+'püm Festetics'!E49+'püm-TASZII.'!E49</f>
        <v>13705</v>
      </c>
      <c r="O49" s="1274">
        <f>'pü.mérleg Hivatal'!F49+'püm. GAMESZ. '!E49+'püm-TASZII.'!F49+püm.Brunszvik!F49+'püm Festetics'!F49</f>
        <v>36160</v>
      </c>
      <c r="P49" s="1274">
        <v>-7880</v>
      </c>
      <c r="Q49" s="1274">
        <v>4883</v>
      </c>
      <c r="R49" s="1274">
        <f t="shared" si="23"/>
        <v>14575</v>
      </c>
      <c r="S49" s="1274">
        <f t="shared" si="24"/>
        <v>18588</v>
      </c>
      <c r="T49" s="1316">
        <f t="shared" si="25"/>
        <v>33163</v>
      </c>
    </row>
    <row r="50" spans="1:20" x14ac:dyDescent="0.2">
      <c r="A50" s="1313"/>
      <c r="B50" s="1376">
        <f t="shared" si="0"/>
        <v>42</v>
      </c>
      <c r="C50" s="95" t="s">
        <v>1</v>
      </c>
      <c r="D50" s="199"/>
      <c r="E50" s="199"/>
      <c r="F50" s="199">
        <f>SUM(D50:E50)</f>
        <v>0</v>
      </c>
      <c r="G50" s="199"/>
      <c r="H50" s="199"/>
      <c r="I50" s="199"/>
      <c r="J50" s="199"/>
      <c r="K50" s="1295"/>
      <c r="L50" s="199" t="s">
        <v>13</v>
      </c>
      <c r="M50" s="1352"/>
      <c r="N50" s="1352"/>
      <c r="O50" s="1352"/>
      <c r="P50" s="1274"/>
      <c r="Q50" s="1274"/>
      <c r="R50" s="205"/>
      <c r="S50" s="205"/>
      <c r="T50" s="1313"/>
    </row>
    <row r="51" spans="1:20" x14ac:dyDescent="0.2">
      <c r="A51" s="1313"/>
      <c r="B51" s="1376">
        <f t="shared" si="0"/>
        <v>43</v>
      </c>
      <c r="C51" s="95"/>
      <c r="D51" s="199"/>
      <c r="E51" s="199"/>
      <c r="F51" s="199"/>
      <c r="G51" s="199"/>
      <c r="H51" s="199"/>
      <c r="I51" s="199"/>
      <c r="J51" s="199"/>
      <c r="K51" s="1295"/>
      <c r="L51" s="199" t="s">
        <v>14</v>
      </c>
      <c r="M51" s="1274"/>
      <c r="N51" s="1274"/>
      <c r="O51" s="1274"/>
      <c r="P51" s="1274"/>
      <c r="Q51" s="1274"/>
      <c r="R51" s="205"/>
      <c r="S51" s="205"/>
      <c r="T51" s="1313"/>
    </row>
    <row r="52" spans="1:20" x14ac:dyDescent="0.2">
      <c r="A52" s="1313"/>
      <c r="B52" s="1376">
        <f t="shared" si="0"/>
        <v>44</v>
      </c>
      <c r="C52" s="95"/>
      <c r="D52" s="199"/>
      <c r="E52" s="199"/>
      <c r="F52" s="199"/>
      <c r="G52" s="199"/>
      <c r="H52" s="199"/>
      <c r="I52" s="199"/>
      <c r="J52" s="199"/>
      <c r="K52" s="1295"/>
      <c r="L52" s="199" t="s">
        <v>15</v>
      </c>
      <c r="M52" s="1274"/>
      <c r="N52" s="1274"/>
      <c r="O52" s="1274"/>
      <c r="P52" s="1274"/>
      <c r="Q52" s="1274"/>
      <c r="R52" s="205"/>
      <c r="S52" s="205"/>
      <c r="T52" s="1313"/>
    </row>
    <row r="53" spans="1:20" ht="12" thickBot="1" x14ac:dyDescent="0.25">
      <c r="A53" s="1313"/>
      <c r="B53" s="1344">
        <f t="shared" si="0"/>
        <v>45</v>
      </c>
      <c r="C53" s="126" t="s">
        <v>473</v>
      </c>
      <c r="D53" s="1319">
        <f>SUM(D39:D51)</f>
        <v>2437145</v>
      </c>
      <c r="E53" s="1319">
        <f>SUM(E39:E51)</f>
        <v>160130</v>
      </c>
      <c r="F53" s="1319">
        <f>SUM(F39:F51)</f>
        <v>2597275</v>
      </c>
      <c r="G53" s="1319">
        <f t="shared" ref="G53:K53" si="26">SUM(G39:G51)</f>
        <v>1164</v>
      </c>
      <c r="H53" s="1319">
        <f t="shared" si="26"/>
        <v>-1535</v>
      </c>
      <c r="I53" s="1319">
        <f t="shared" si="26"/>
        <v>2438309</v>
      </c>
      <c r="J53" s="1319">
        <f t="shared" si="26"/>
        <v>158595</v>
      </c>
      <c r="K53" s="1320">
        <f t="shared" si="26"/>
        <v>2596904</v>
      </c>
      <c r="L53" s="1319" t="s">
        <v>466</v>
      </c>
      <c r="M53" s="1273">
        <f t="shared" ref="M53:T53" si="27">SUM(M39:M52)</f>
        <v>815495</v>
      </c>
      <c r="N53" s="1273">
        <f t="shared" si="27"/>
        <v>532041</v>
      </c>
      <c r="O53" s="1273">
        <f t="shared" si="27"/>
        <v>1347536</v>
      </c>
      <c r="P53" s="124">
        <f t="shared" si="27"/>
        <v>1289</v>
      </c>
      <c r="Q53" s="124">
        <f t="shared" si="27"/>
        <v>33610</v>
      </c>
      <c r="R53" s="124">
        <f t="shared" si="27"/>
        <v>816784</v>
      </c>
      <c r="S53" s="124">
        <f t="shared" si="27"/>
        <v>565651</v>
      </c>
      <c r="T53" s="1293">
        <f t="shared" si="27"/>
        <v>1382435</v>
      </c>
    </row>
    <row r="54" spans="1:20" ht="12" thickBot="1" x14ac:dyDescent="0.25">
      <c r="A54" s="1313"/>
      <c r="B54" s="1344">
        <f t="shared" si="0"/>
        <v>46</v>
      </c>
      <c r="C54" s="738" t="s">
        <v>468</v>
      </c>
      <c r="D54" s="739">
        <f>D34+D53</f>
        <v>3685030</v>
      </c>
      <c r="E54" s="739">
        <f>E34+E53</f>
        <v>1155337</v>
      </c>
      <c r="F54" s="740">
        <f>F34+F53</f>
        <v>4840367</v>
      </c>
      <c r="G54" s="740">
        <f t="shared" ref="G54:K54" si="28">G34+G53</f>
        <v>35218</v>
      </c>
      <c r="H54" s="740">
        <f t="shared" si="28"/>
        <v>223925</v>
      </c>
      <c r="I54" s="740">
        <f t="shared" si="28"/>
        <v>3720248</v>
      </c>
      <c r="J54" s="740">
        <f t="shared" si="28"/>
        <v>1472515</v>
      </c>
      <c r="K54" s="1362">
        <f t="shared" si="28"/>
        <v>5192763</v>
      </c>
      <c r="L54" s="1358" t="s">
        <v>467</v>
      </c>
      <c r="M54" s="739">
        <f t="shared" ref="M54:T54" si="29">M34+M53</f>
        <v>3685030</v>
      </c>
      <c r="N54" s="739">
        <f t="shared" si="29"/>
        <v>1248590.32</v>
      </c>
      <c r="O54" s="740">
        <f t="shared" si="29"/>
        <v>4933620.32</v>
      </c>
      <c r="P54" s="697">
        <f t="shared" si="29"/>
        <v>35218</v>
      </c>
      <c r="Q54" s="697">
        <f t="shared" si="29"/>
        <v>223925</v>
      </c>
      <c r="R54" s="773">
        <f t="shared" si="29"/>
        <v>3720248</v>
      </c>
      <c r="S54" s="773">
        <f t="shared" si="29"/>
        <v>1472515.32</v>
      </c>
      <c r="T54" s="1357">
        <f t="shared" si="29"/>
        <v>5192763.32</v>
      </c>
    </row>
    <row r="55" spans="1:20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4"/>
      <c r="M55" s="127"/>
      <c r="N55" s="127"/>
      <c r="O55" s="127"/>
      <c r="P55" s="10"/>
      <c r="Q55" s="10"/>
      <c r="R55" s="10"/>
    </row>
    <row r="61" spans="1:20" x14ac:dyDescent="0.2">
      <c r="N61" s="122"/>
    </row>
  </sheetData>
  <sheetProtection selectLockedCells="1" selectUnlockedCells="1"/>
  <mergeCells count="15">
    <mergeCell ref="D1:T1"/>
    <mergeCell ref="C3:T3"/>
    <mergeCell ref="C4:T4"/>
    <mergeCell ref="B5:T5"/>
    <mergeCell ref="D6:K6"/>
    <mergeCell ref="B6:B8"/>
    <mergeCell ref="M7:O7"/>
    <mergeCell ref="C6:C7"/>
    <mergeCell ref="L6:L7"/>
    <mergeCell ref="D7:F7"/>
    <mergeCell ref="G7:H7"/>
    <mergeCell ref="I7:K7"/>
    <mergeCell ref="P7:Q7"/>
    <mergeCell ref="R7:T7"/>
    <mergeCell ref="M6:T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55"/>
  <sheetViews>
    <sheetView zoomScale="120" workbookViewId="0">
      <selection activeCell="P9" sqref="P9:Q9"/>
    </sheetView>
  </sheetViews>
  <sheetFormatPr defaultColWidth="9.140625" defaultRowHeight="11.25" x14ac:dyDescent="0.2"/>
  <cols>
    <col min="1" max="1" width="9.140625" style="10"/>
    <col min="2" max="2" width="3.7109375" style="116" customWidth="1"/>
    <col min="3" max="3" width="36.140625" style="116" customWidth="1"/>
    <col min="4" max="5" width="10.28515625" style="117" customWidth="1"/>
    <col min="6" max="11" width="9" style="117" customWidth="1"/>
    <col min="12" max="12" width="36.140625" style="117" customWidth="1"/>
    <col min="13" max="15" width="10.28515625" style="117" customWidth="1"/>
    <col min="16" max="20" width="10.28515625" style="10" customWidth="1"/>
    <col min="21" max="16384" width="9.140625" style="10"/>
  </cols>
  <sheetData>
    <row r="1" spans="1:20" ht="12.75" customHeight="1" x14ac:dyDescent="0.2">
      <c r="D1" s="1386" t="s">
        <v>1297</v>
      </c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1386"/>
      <c r="P1" s="1386"/>
      <c r="Q1" s="1386"/>
      <c r="R1" s="1386"/>
      <c r="S1" s="1386"/>
      <c r="T1" s="1386"/>
    </row>
    <row r="2" spans="1:20" x14ac:dyDescent="0.2">
      <c r="L2" s="118"/>
      <c r="M2" s="118"/>
      <c r="N2" s="118"/>
      <c r="O2" s="118"/>
    </row>
    <row r="3" spans="1:20" x14ac:dyDescent="0.2">
      <c r="L3" s="118"/>
      <c r="M3" s="118"/>
      <c r="N3" s="118"/>
      <c r="O3" s="118"/>
    </row>
    <row r="4" spans="1:20" s="98" customFormat="1" x14ac:dyDescent="0.2">
      <c r="B4" s="119"/>
      <c r="C4" s="1387" t="s">
        <v>78</v>
      </c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387"/>
      <c r="P4" s="1387"/>
      <c r="Q4" s="1387"/>
      <c r="R4" s="1387"/>
      <c r="S4" s="1387"/>
      <c r="T4" s="1387"/>
    </row>
    <row r="5" spans="1:20" s="98" customFormat="1" x14ac:dyDescent="0.2">
      <c r="B5" s="119"/>
      <c r="C5" s="1530" t="s">
        <v>195</v>
      </c>
      <c r="D5" s="1530"/>
      <c r="E5" s="1530"/>
      <c r="F5" s="1530"/>
      <c r="G5" s="1530"/>
      <c r="H5" s="1530"/>
      <c r="I5" s="1530"/>
      <c r="J5" s="1530"/>
      <c r="K5" s="1530"/>
      <c r="L5" s="1530"/>
      <c r="M5" s="1530"/>
      <c r="N5" s="1530"/>
      <c r="O5" s="1530"/>
      <c r="P5" s="1530"/>
      <c r="Q5" s="1530"/>
      <c r="R5" s="1530"/>
      <c r="S5" s="1530"/>
      <c r="T5" s="1530"/>
    </row>
    <row r="6" spans="1:20" s="98" customFormat="1" x14ac:dyDescent="0.2">
      <c r="B6" s="119"/>
      <c r="C6" s="1387" t="s">
        <v>1123</v>
      </c>
      <c r="D6" s="1387"/>
      <c r="E6" s="1387"/>
      <c r="F6" s="1387"/>
      <c r="G6" s="1387"/>
      <c r="H6" s="1387"/>
      <c r="I6" s="1387"/>
      <c r="J6" s="1387"/>
      <c r="K6" s="1387"/>
      <c r="L6" s="1387"/>
      <c r="M6" s="1387"/>
      <c r="N6" s="1387"/>
      <c r="O6" s="1387"/>
      <c r="P6" s="1387"/>
      <c r="Q6" s="1387"/>
      <c r="R6" s="1387"/>
      <c r="S6" s="1387"/>
      <c r="T6" s="1387"/>
    </row>
    <row r="7" spans="1:20" s="98" customFormat="1" ht="13.5" customHeight="1" thickBot="1" x14ac:dyDescent="0.25">
      <c r="B7" s="1389" t="s">
        <v>320</v>
      </c>
      <c r="C7" s="1389"/>
      <c r="D7" s="1389"/>
      <c r="E7" s="1389"/>
      <c r="F7" s="1389"/>
      <c r="G7" s="1389"/>
      <c r="H7" s="1389"/>
      <c r="I7" s="1389"/>
      <c r="J7" s="1389"/>
      <c r="K7" s="1389"/>
      <c r="L7" s="1389"/>
      <c r="M7" s="1389"/>
      <c r="N7" s="1389"/>
      <c r="O7" s="1389"/>
      <c r="P7" s="1389"/>
      <c r="Q7" s="1389"/>
      <c r="R7" s="1389"/>
      <c r="S7" s="1389"/>
      <c r="T7" s="1389"/>
    </row>
    <row r="8" spans="1:20" s="98" customFormat="1" ht="12.75" customHeight="1" x14ac:dyDescent="0.2">
      <c r="B8" s="1522" t="s">
        <v>56</v>
      </c>
      <c r="C8" s="1401" t="s">
        <v>57</v>
      </c>
      <c r="D8" s="1519" t="s">
        <v>58</v>
      </c>
      <c r="E8" s="1520"/>
      <c r="F8" s="1520"/>
      <c r="G8" s="1520"/>
      <c r="H8" s="1520"/>
      <c r="I8" s="1520"/>
      <c r="J8" s="1520"/>
      <c r="K8" s="1521"/>
      <c r="L8" s="1525" t="s">
        <v>59</v>
      </c>
      <c r="M8" s="1393" t="s">
        <v>60</v>
      </c>
      <c r="N8" s="1394"/>
      <c r="O8" s="1394"/>
      <c r="P8" s="1394"/>
      <c r="Q8" s="1394"/>
      <c r="R8" s="1394"/>
      <c r="S8" s="1394"/>
      <c r="T8" s="1395"/>
    </row>
    <row r="9" spans="1:20" s="98" customFormat="1" ht="12.75" customHeight="1" x14ac:dyDescent="0.2">
      <c r="B9" s="1523"/>
      <c r="C9" s="1402"/>
      <c r="D9" s="1396" t="s">
        <v>1282</v>
      </c>
      <c r="E9" s="1396"/>
      <c r="F9" s="1397"/>
      <c r="G9" s="1390" t="s">
        <v>1299</v>
      </c>
      <c r="H9" s="1391"/>
      <c r="I9" s="1390" t="s">
        <v>1270</v>
      </c>
      <c r="J9" s="1390"/>
      <c r="K9" s="1392"/>
      <c r="L9" s="1531"/>
      <c r="M9" s="1396" t="s">
        <v>1283</v>
      </c>
      <c r="N9" s="1396"/>
      <c r="O9" s="1396"/>
      <c r="P9" s="1390" t="s">
        <v>1299</v>
      </c>
      <c r="Q9" s="1391"/>
      <c r="R9" s="1390" t="s">
        <v>1270</v>
      </c>
      <c r="S9" s="1390"/>
      <c r="T9" s="1392"/>
    </row>
    <row r="10" spans="1:20" s="99" customFormat="1" ht="36.6" customHeight="1" thickBot="1" x14ac:dyDescent="0.25">
      <c r="A10" s="1342"/>
      <c r="B10" s="1400"/>
      <c r="C10" s="1304" t="s">
        <v>61</v>
      </c>
      <c r="D10" s="1305" t="s">
        <v>62</v>
      </c>
      <c r="E10" s="1305" t="s">
        <v>63</v>
      </c>
      <c r="F10" s="1306" t="s">
        <v>64</v>
      </c>
      <c r="G10" s="1305" t="s">
        <v>62</v>
      </c>
      <c r="H10" s="1306" t="s">
        <v>63</v>
      </c>
      <c r="I10" s="1305" t="s">
        <v>62</v>
      </c>
      <c r="J10" s="1305" t="s">
        <v>63</v>
      </c>
      <c r="K10" s="1337" t="s">
        <v>64</v>
      </c>
      <c r="L10" s="1308" t="s">
        <v>65</v>
      </c>
      <c r="M10" s="1305" t="s">
        <v>62</v>
      </c>
      <c r="N10" s="1305" t="s">
        <v>63</v>
      </c>
      <c r="O10" s="1305" t="s">
        <v>64</v>
      </c>
      <c r="P10" s="1305" t="s">
        <v>62</v>
      </c>
      <c r="Q10" s="1306" t="s">
        <v>63</v>
      </c>
      <c r="R10" s="1305" t="s">
        <v>62</v>
      </c>
      <c r="S10" s="1306" t="s">
        <v>63</v>
      </c>
      <c r="T10" s="1307" t="s">
        <v>64</v>
      </c>
    </row>
    <row r="11" spans="1:20" ht="11.45" customHeight="1" x14ac:dyDescent="0.2">
      <c r="A11" s="1313"/>
      <c r="B11" s="1375">
        <v>1</v>
      </c>
      <c r="C11" s="1271" t="s">
        <v>24</v>
      </c>
      <c r="D11" s="124"/>
      <c r="E11" s="124"/>
      <c r="F11" s="124"/>
      <c r="G11" s="124"/>
      <c r="H11" s="124"/>
      <c r="I11" s="124"/>
      <c r="J11" s="124"/>
      <c r="K11" s="1293"/>
      <c r="L11" s="1272" t="s">
        <v>25</v>
      </c>
      <c r="M11" s="124"/>
      <c r="N11" s="124"/>
      <c r="O11" s="122"/>
      <c r="P11" s="205"/>
      <c r="Q11" s="205"/>
      <c r="R11" s="205"/>
      <c r="S11" s="205"/>
      <c r="T11" s="1313"/>
    </row>
    <row r="12" spans="1:20" x14ac:dyDescent="0.2">
      <c r="A12" s="1313"/>
      <c r="B12" s="1376">
        <f t="shared" ref="B12:B54" si="0">B11+1</f>
        <v>2</v>
      </c>
      <c r="C12" s="121" t="s">
        <v>35</v>
      </c>
      <c r="D12" s="95"/>
      <c r="E12" s="95"/>
      <c r="F12" s="95">
        <f>'pü.mérleg Önkorm.'!G12</f>
        <v>0</v>
      </c>
      <c r="G12" s="95"/>
      <c r="H12" s="95"/>
      <c r="I12" s="95"/>
      <c r="J12" s="95"/>
      <c r="K12" s="1294"/>
      <c r="L12" s="95" t="s">
        <v>230</v>
      </c>
      <c r="M12" s="95">
        <v>101660</v>
      </c>
      <c r="N12" s="95">
        <v>66083</v>
      </c>
      <c r="O12" s="1278">
        <f>SUM(M12:N12)</f>
        <v>167743</v>
      </c>
      <c r="P12" s="1274">
        <v>116</v>
      </c>
      <c r="Q12" s="1274">
        <v>22072</v>
      </c>
      <c r="R12" s="1274">
        <f>M12+P12</f>
        <v>101776</v>
      </c>
      <c r="S12" s="1274">
        <f>N12+Q12</f>
        <v>88155</v>
      </c>
      <c r="T12" s="1316">
        <f>R12+S12</f>
        <v>189931</v>
      </c>
    </row>
    <row r="13" spans="1:20" x14ac:dyDescent="0.2">
      <c r="A13" s="1313"/>
      <c r="B13" s="1376">
        <f t="shared" si="0"/>
        <v>3</v>
      </c>
      <c r="C13" s="121" t="s">
        <v>36</v>
      </c>
      <c r="D13" s="95"/>
      <c r="E13" s="95"/>
      <c r="F13" s="95">
        <f>'pü.mérleg Önkorm.'!G13+'pü.mérleg Hivatal'!G14</f>
        <v>-456</v>
      </c>
      <c r="G13" s="95"/>
      <c r="H13" s="95"/>
      <c r="I13" s="95"/>
      <c r="J13" s="95"/>
      <c r="K13" s="1294"/>
      <c r="L13" s="1292" t="s">
        <v>231</v>
      </c>
      <c r="M13" s="95">
        <v>28423</v>
      </c>
      <c r="N13" s="95">
        <v>15757</v>
      </c>
      <c r="O13" s="1278">
        <f>SUM(M13:N13)</f>
        <v>44180</v>
      </c>
      <c r="P13" s="1274">
        <v>29</v>
      </c>
      <c r="Q13" s="1274">
        <v>4304</v>
      </c>
      <c r="R13" s="1274">
        <f t="shared" ref="R13:R18" si="1">M13+P13</f>
        <v>28452</v>
      </c>
      <c r="S13" s="1274">
        <f t="shared" ref="S13:S18" si="2">N13+Q13</f>
        <v>20061</v>
      </c>
      <c r="T13" s="1316">
        <f t="shared" ref="T13:T18" si="3">R13+S13</f>
        <v>48513</v>
      </c>
    </row>
    <row r="14" spans="1:20" x14ac:dyDescent="0.2">
      <c r="A14" s="1313"/>
      <c r="B14" s="1376">
        <f t="shared" si="0"/>
        <v>4</v>
      </c>
      <c r="C14" s="121" t="s">
        <v>37</v>
      </c>
      <c r="D14" s="95">
        <v>1358</v>
      </c>
      <c r="E14" s="95"/>
      <c r="F14" s="95">
        <f>SUM(D14:E14)</f>
        <v>1358</v>
      </c>
      <c r="G14" s="95">
        <v>29</v>
      </c>
      <c r="H14" s="95"/>
      <c r="I14" s="95">
        <f>D14+G14</f>
        <v>1387</v>
      </c>
      <c r="J14" s="95">
        <f>E14+H14</f>
        <v>0</v>
      </c>
      <c r="K14" s="1294">
        <f>I14+J14</f>
        <v>1387</v>
      </c>
      <c r="L14" s="95" t="s">
        <v>232</v>
      </c>
      <c r="M14" s="95">
        <v>6319</v>
      </c>
      <c r="N14" s="95">
        <v>59962</v>
      </c>
      <c r="O14" s="1278">
        <f>SUM(M14:N14)</f>
        <v>66281</v>
      </c>
      <c r="P14" s="1274">
        <v>641</v>
      </c>
      <c r="Q14" s="1274">
        <v>196</v>
      </c>
      <c r="R14" s="1274">
        <f t="shared" si="1"/>
        <v>6960</v>
      </c>
      <c r="S14" s="1274">
        <f t="shared" si="2"/>
        <v>60158</v>
      </c>
      <c r="T14" s="1316">
        <f t="shared" si="3"/>
        <v>67118</v>
      </c>
    </row>
    <row r="15" spans="1:20" ht="12" customHeight="1" x14ac:dyDescent="0.2">
      <c r="A15" s="1313"/>
      <c r="B15" s="1376">
        <f t="shared" si="0"/>
        <v>5</v>
      </c>
      <c r="C15" s="1276"/>
      <c r="D15" s="95"/>
      <c r="E15" s="95"/>
      <c r="F15" s="95"/>
      <c r="G15" s="95"/>
      <c r="H15" s="95"/>
      <c r="I15" s="95"/>
      <c r="J15" s="95"/>
      <c r="K15" s="1294"/>
      <c r="L15" s="95"/>
      <c r="M15" s="95"/>
      <c r="N15" s="95"/>
      <c r="O15" s="1278"/>
      <c r="P15" s="1274"/>
      <c r="Q15" s="1274"/>
      <c r="R15" s="1274"/>
      <c r="S15" s="1274"/>
      <c r="T15" s="1316"/>
    </row>
    <row r="16" spans="1:20" x14ac:dyDescent="0.2">
      <c r="A16" s="1313"/>
      <c r="B16" s="1376">
        <f t="shared" si="0"/>
        <v>6</v>
      </c>
      <c r="C16" s="121" t="s">
        <v>38</v>
      </c>
      <c r="D16" s="95"/>
      <c r="E16" s="95"/>
      <c r="F16" s="95">
        <f>SUM(D16:E16)</f>
        <v>0</v>
      </c>
      <c r="G16" s="95"/>
      <c r="H16" s="95"/>
      <c r="I16" s="95"/>
      <c r="J16" s="95"/>
      <c r="K16" s="1294"/>
      <c r="L16" s="95" t="s">
        <v>28</v>
      </c>
      <c r="M16" s="122">
        <f>'ellátottak hivatal'!E17</f>
        <v>350</v>
      </c>
      <c r="N16" s="122">
        <f>'ellátottak hivatal'!F17</f>
        <v>0</v>
      </c>
      <c r="O16" s="1278">
        <f>SUM(M16:N16)</f>
        <v>350</v>
      </c>
      <c r="P16" s="1274"/>
      <c r="Q16" s="1274"/>
      <c r="R16" s="1274">
        <f t="shared" si="1"/>
        <v>350</v>
      </c>
      <c r="S16" s="1274">
        <f t="shared" si="2"/>
        <v>0</v>
      </c>
      <c r="T16" s="1316">
        <f t="shared" si="3"/>
        <v>350</v>
      </c>
    </row>
    <row r="17" spans="1:20" x14ac:dyDescent="0.2">
      <c r="A17" s="1313"/>
      <c r="B17" s="1376">
        <f t="shared" si="0"/>
        <v>7</v>
      </c>
      <c r="C17" s="121"/>
      <c r="D17" s="95"/>
      <c r="E17" s="95"/>
      <c r="F17" s="95"/>
      <c r="G17" s="95"/>
      <c r="H17" s="95"/>
      <c r="I17" s="95"/>
      <c r="J17" s="95"/>
      <c r="K17" s="1294"/>
      <c r="L17" s="95" t="s">
        <v>30</v>
      </c>
      <c r="M17" s="122"/>
      <c r="N17" s="122"/>
      <c r="O17" s="1278"/>
      <c r="P17" s="1274"/>
      <c r="Q17" s="1274"/>
      <c r="R17" s="1274"/>
      <c r="S17" s="1274"/>
      <c r="T17" s="1316"/>
    </row>
    <row r="18" spans="1:20" x14ac:dyDescent="0.2">
      <c r="A18" s="1313"/>
      <c r="B18" s="1376">
        <f t="shared" si="0"/>
        <v>8</v>
      </c>
      <c r="C18" s="121" t="s">
        <v>39</v>
      </c>
      <c r="D18" s="95"/>
      <c r="E18" s="95"/>
      <c r="F18" s="95">
        <f>SUM(D18:E18)</f>
        <v>0</v>
      </c>
      <c r="G18" s="95"/>
      <c r="H18" s="95"/>
      <c r="I18" s="95"/>
      <c r="J18" s="95"/>
      <c r="K18" s="1294"/>
      <c r="L18" s="95" t="s">
        <v>471</v>
      </c>
      <c r="M18" s="122"/>
      <c r="N18" s="122">
        <v>0</v>
      </c>
      <c r="O18" s="1278">
        <v>0</v>
      </c>
      <c r="P18" s="1274">
        <v>30</v>
      </c>
      <c r="Q18" s="1274"/>
      <c r="R18" s="1274">
        <f t="shared" si="1"/>
        <v>30</v>
      </c>
      <c r="S18" s="1274">
        <f t="shared" si="2"/>
        <v>0</v>
      </c>
      <c r="T18" s="1316">
        <f t="shared" si="3"/>
        <v>30</v>
      </c>
    </row>
    <row r="19" spans="1:20" x14ac:dyDescent="0.2">
      <c r="A19" s="1313"/>
      <c r="B19" s="1376">
        <f t="shared" si="0"/>
        <v>9</v>
      </c>
      <c r="C19" s="123" t="s">
        <v>40</v>
      </c>
      <c r="D19" s="1278"/>
      <c r="E19" s="1278"/>
      <c r="F19" s="1278"/>
      <c r="G19" s="1278"/>
      <c r="H19" s="1278"/>
      <c r="I19" s="95"/>
      <c r="J19" s="95"/>
      <c r="K19" s="1294"/>
      <c r="L19" s="95" t="s">
        <v>470</v>
      </c>
      <c r="M19" s="122"/>
      <c r="N19" s="122"/>
      <c r="O19" s="122"/>
      <c r="P19" s="1274"/>
      <c r="Q19" s="1274"/>
      <c r="R19" s="205"/>
      <c r="S19" s="205"/>
      <c r="T19" s="1313"/>
    </row>
    <row r="20" spans="1:20" x14ac:dyDescent="0.2">
      <c r="A20" s="1313"/>
      <c r="B20" s="1376">
        <f t="shared" si="0"/>
        <v>10</v>
      </c>
      <c r="C20" s="121" t="s">
        <v>209</v>
      </c>
      <c r="D20" s="1275">
        <f>'mük. bev.Önkor és Hivatal '!C80</f>
        <v>15</v>
      </c>
      <c r="E20" s="1275">
        <f>'mük. bev.Önkor és Hivatal '!D80</f>
        <v>402</v>
      </c>
      <c r="F20" s="1275">
        <f>SUM(D20:E20)</f>
        <v>417</v>
      </c>
      <c r="G20" s="1275"/>
      <c r="H20" s="1275"/>
      <c r="I20" s="95">
        <f t="shared" ref="I20" si="4">D20+G20</f>
        <v>15</v>
      </c>
      <c r="J20" s="95">
        <f t="shared" ref="J20" si="5">E20+H20</f>
        <v>402</v>
      </c>
      <c r="K20" s="1294">
        <f t="shared" ref="K20" si="6">I20+J20</f>
        <v>417</v>
      </c>
      <c r="L20" s="95" t="s">
        <v>237</v>
      </c>
      <c r="M20" s="122"/>
      <c r="N20" s="122">
        <v>0</v>
      </c>
      <c r="O20" s="122">
        <f>N20+M20</f>
        <v>0</v>
      </c>
      <c r="P20" s="1274"/>
      <c r="Q20" s="1274"/>
      <c r="R20" s="205"/>
      <c r="S20" s="205"/>
      <c r="T20" s="1313"/>
    </row>
    <row r="21" spans="1:20" x14ac:dyDescent="0.2">
      <c r="A21" s="1313"/>
      <c r="B21" s="1376">
        <f t="shared" si="0"/>
        <v>11</v>
      </c>
      <c r="C21" s="1279"/>
      <c r="D21" s="1278"/>
      <c r="E21" s="1278"/>
      <c r="F21" s="1278"/>
      <c r="G21" s="1278"/>
      <c r="H21" s="1278"/>
      <c r="I21" s="95"/>
      <c r="J21" s="1278"/>
      <c r="K21" s="1296"/>
      <c r="L21" s="95" t="s">
        <v>463</v>
      </c>
      <c r="M21" s="122"/>
      <c r="N21" s="122"/>
      <c r="O21" s="122"/>
      <c r="P21" s="1274"/>
      <c r="Q21" s="1274"/>
      <c r="R21" s="205"/>
      <c r="S21" s="205"/>
      <c r="T21" s="1313"/>
    </row>
    <row r="22" spans="1:20" s="100" customFormat="1" x14ac:dyDescent="0.2">
      <c r="A22" s="1314"/>
      <c r="B22" s="1376">
        <f t="shared" si="0"/>
        <v>12</v>
      </c>
      <c r="C22" s="1279" t="s">
        <v>42</v>
      </c>
      <c r="D22" s="1278"/>
      <c r="E22" s="1278"/>
      <c r="F22" s="1278"/>
      <c r="G22" s="1278"/>
      <c r="H22" s="1278"/>
      <c r="I22" s="95"/>
      <c r="J22" s="1278"/>
      <c r="K22" s="1296"/>
      <c r="L22" s="95" t="s">
        <v>464</v>
      </c>
      <c r="M22" s="122"/>
      <c r="N22" s="122"/>
      <c r="O22" s="122"/>
      <c r="P22" s="1289"/>
      <c r="Q22" s="1289"/>
      <c r="R22" s="1280"/>
      <c r="S22" s="1280"/>
      <c r="T22" s="1314"/>
    </row>
    <row r="23" spans="1:20" s="100" customFormat="1" x14ac:dyDescent="0.2">
      <c r="A23" s="1314"/>
      <c r="B23" s="1376">
        <f t="shared" si="0"/>
        <v>13</v>
      </c>
      <c r="C23" s="1279" t="s">
        <v>43</v>
      </c>
      <c r="D23" s="1278"/>
      <c r="E23" s="1278"/>
      <c r="F23" s="1278"/>
      <c r="G23" s="1278"/>
      <c r="H23" s="1278"/>
      <c r="I23" s="95"/>
      <c r="J23" s="1278"/>
      <c r="K23" s="1296"/>
      <c r="L23" s="122"/>
      <c r="M23" s="122"/>
      <c r="N23" s="122"/>
      <c r="O23" s="122"/>
      <c r="P23" s="1289"/>
      <c r="Q23" s="1289"/>
      <c r="R23" s="1280"/>
      <c r="S23" s="1280"/>
      <c r="T23" s="1314"/>
    </row>
    <row r="24" spans="1:20" x14ac:dyDescent="0.2">
      <c r="A24" s="1313"/>
      <c r="B24" s="1376">
        <f t="shared" si="0"/>
        <v>14</v>
      </c>
      <c r="C24" s="121" t="s">
        <v>44</v>
      </c>
      <c r="D24" s="1281"/>
      <c r="E24" s="1281"/>
      <c r="F24" s="1281"/>
      <c r="G24" s="1281"/>
      <c r="H24" s="1281"/>
      <c r="I24" s="95"/>
      <c r="J24" s="1281"/>
      <c r="K24" s="1297"/>
      <c r="L24" s="1282" t="s">
        <v>66</v>
      </c>
      <c r="M24" s="1282">
        <f>SUM(M12:M22)</f>
        <v>136752</v>
      </c>
      <c r="N24" s="1282">
        <f>SUM(N12:N22)</f>
        <v>141802</v>
      </c>
      <c r="O24" s="1282">
        <f>SUM(O12:O22)</f>
        <v>278554</v>
      </c>
      <c r="P24" s="1274">
        <f>SUM(P12:P23)</f>
        <v>816</v>
      </c>
      <c r="Q24" s="1274">
        <f>SUM(Q12:Q23)</f>
        <v>26572</v>
      </c>
      <c r="R24" s="1274">
        <f>SUM(R12:R23)</f>
        <v>137568</v>
      </c>
      <c r="S24" s="1274">
        <f>SUM(S12:S23)</f>
        <v>168374</v>
      </c>
      <c r="T24" s="1316">
        <f>SUM(T12:T23)</f>
        <v>305942</v>
      </c>
    </row>
    <row r="25" spans="1:20" x14ac:dyDescent="0.2">
      <c r="A25" s="1313"/>
      <c r="B25" s="1376">
        <f t="shared" si="0"/>
        <v>15</v>
      </c>
      <c r="C25" s="121" t="s">
        <v>45</v>
      </c>
      <c r="D25" s="1278"/>
      <c r="E25" s="1278"/>
      <c r="F25" s="1278"/>
      <c r="G25" s="1278"/>
      <c r="H25" s="1278"/>
      <c r="I25" s="95"/>
      <c r="J25" s="1278"/>
      <c r="K25" s="1296"/>
      <c r="L25" s="122"/>
      <c r="M25" s="122"/>
      <c r="N25" s="122"/>
      <c r="O25" s="122"/>
      <c r="P25" s="1274"/>
      <c r="Q25" s="1274"/>
      <c r="R25" s="205"/>
      <c r="S25" s="205"/>
      <c r="T25" s="1313"/>
    </row>
    <row r="26" spans="1:20" x14ac:dyDescent="0.2">
      <c r="A26" s="1313"/>
      <c r="B26" s="1376">
        <f t="shared" si="0"/>
        <v>16</v>
      </c>
      <c r="C26" s="121" t="s">
        <v>46</v>
      </c>
      <c r="D26" s="1272"/>
      <c r="E26" s="1272"/>
      <c r="F26" s="1272"/>
      <c r="G26" s="1272"/>
      <c r="H26" s="1272"/>
      <c r="I26" s="95"/>
      <c r="J26" s="1272"/>
      <c r="K26" s="1298"/>
      <c r="L26" s="1272" t="s">
        <v>34</v>
      </c>
      <c r="M26" s="124"/>
      <c r="N26" s="124"/>
      <c r="O26" s="122"/>
      <c r="P26" s="1274"/>
      <c r="Q26" s="1274"/>
      <c r="R26" s="205"/>
      <c r="S26" s="205"/>
      <c r="T26" s="1313"/>
    </row>
    <row r="27" spans="1:20" x14ac:dyDescent="0.2">
      <c r="A27" s="1313"/>
      <c r="B27" s="1376">
        <f t="shared" si="0"/>
        <v>17</v>
      </c>
      <c r="C27" s="121" t="s">
        <v>47</v>
      </c>
      <c r="D27" s="95"/>
      <c r="E27" s="95"/>
      <c r="F27" s="95"/>
      <c r="G27" s="95"/>
      <c r="H27" s="95"/>
      <c r="I27" s="95"/>
      <c r="J27" s="95"/>
      <c r="K27" s="1294"/>
      <c r="L27" s="95" t="s">
        <v>241</v>
      </c>
      <c r="M27" s="122">
        <f>'felhalm. kiad.  '!M114</f>
        <v>6175</v>
      </c>
      <c r="N27" s="122">
        <f>'felhalm. kiad.  '!P114</f>
        <v>6335</v>
      </c>
      <c r="O27" s="122">
        <f>SUM(M27:N27)</f>
        <v>12510</v>
      </c>
      <c r="P27" s="1274"/>
      <c r="Q27" s="1274"/>
      <c r="R27" s="1274">
        <f>M27+P27</f>
        <v>6175</v>
      </c>
      <c r="S27" s="1274">
        <f>N27+Q27</f>
        <v>6335</v>
      </c>
      <c r="T27" s="1316">
        <f>R27+S27</f>
        <v>12510</v>
      </c>
    </row>
    <row r="28" spans="1:20" x14ac:dyDescent="0.2">
      <c r="A28" s="1313"/>
      <c r="B28" s="1376">
        <f t="shared" si="0"/>
        <v>18</v>
      </c>
      <c r="C28" s="121"/>
      <c r="D28" s="95"/>
      <c r="E28" s="95"/>
      <c r="F28" s="95"/>
      <c r="G28" s="95"/>
      <c r="H28" s="95"/>
      <c r="I28" s="95"/>
      <c r="J28" s="95"/>
      <c r="K28" s="1294"/>
      <c r="L28" s="95" t="s">
        <v>31</v>
      </c>
      <c r="M28" s="122"/>
      <c r="N28" s="122"/>
      <c r="O28" s="122"/>
      <c r="P28" s="1274"/>
      <c r="Q28" s="1274"/>
      <c r="R28" s="205"/>
      <c r="S28" s="205"/>
      <c r="T28" s="1313"/>
    </row>
    <row r="29" spans="1:20" x14ac:dyDescent="0.2">
      <c r="A29" s="1313"/>
      <c r="B29" s="1376">
        <f t="shared" si="0"/>
        <v>19</v>
      </c>
      <c r="C29" s="1279" t="s">
        <v>50</v>
      </c>
      <c r="D29" s="95"/>
      <c r="E29" s="95"/>
      <c r="F29" s="95"/>
      <c r="G29" s="95"/>
      <c r="H29" s="95"/>
      <c r="I29" s="95"/>
      <c r="J29" s="95"/>
      <c r="K29" s="1294"/>
      <c r="L29" s="95" t="s">
        <v>32</v>
      </c>
      <c r="M29" s="122"/>
      <c r="N29" s="122"/>
      <c r="O29" s="122"/>
      <c r="P29" s="1274"/>
      <c r="Q29" s="1274"/>
      <c r="R29" s="205"/>
      <c r="S29" s="205"/>
      <c r="T29" s="1313"/>
    </row>
    <row r="30" spans="1:20" s="100" customFormat="1" x14ac:dyDescent="0.2">
      <c r="A30" s="1314"/>
      <c r="B30" s="1376">
        <f t="shared" si="0"/>
        <v>20</v>
      </c>
      <c r="C30" s="1279" t="s">
        <v>48</v>
      </c>
      <c r="D30" s="95"/>
      <c r="E30" s="95"/>
      <c r="F30" s="95"/>
      <c r="G30" s="95"/>
      <c r="H30" s="95"/>
      <c r="I30" s="95"/>
      <c r="J30" s="95"/>
      <c r="K30" s="1294"/>
      <c r="L30" s="95" t="s">
        <v>472</v>
      </c>
      <c r="M30" s="122"/>
      <c r="N30" s="122"/>
      <c r="O30" s="122"/>
      <c r="P30" s="1289"/>
      <c r="Q30" s="1289"/>
      <c r="R30" s="1280"/>
      <c r="S30" s="1280"/>
      <c r="T30" s="1314"/>
    </row>
    <row r="31" spans="1:20" x14ac:dyDescent="0.2">
      <c r="A31" s="1313"/>
      <c r="B31" s="1376">
        <f t="shared" si="0"/>
        <v>21</v>
      </c>
      <c r="C31" s="1279"/>
      <c r="D31" s="95"/>
      <c r="E31" s="95"/>
      <c r="F31" s="95"/>
      <c r="G31" s="95"/>
      <c r="H31" s="95"/>
      <c r="I31" s="95"/>
      <c r="J31" s="95"/>
      <c r="K31" s="1294"/>
      <c r="L31" s="95" t="s">
        <v>469</v>
      </c>
      <c r="M31" s="122"/>
      <c r="N31" s="122"/>
      <c r="O31" s="122"/>
      <c r="P31" s="1274"/>
      <c r="Q31" s="1274"/>
      <c r="R31" s="205"/>
      <c r="S31" s="205"/>
      <c r="T31" s="1313"/>
    </row>
    <row r="32" spans="1:20" s="11" customFormat="1" x14ac:dyDescent="0.2">
      <c r="A32" s="1315"/>
      <c r="B32" s="1376">
        <f t="shared" si="0"/>
        <v>22</v>
      </c>
      <c r="C32" s="1284" t="s">
        <v>52</v>
      </c>
      <c r="D32" s="1340">
        <f>D13+D14+D16+D18+D20+D23+D24+D25+D26+D27+D29+D30</f>
        <v>1373</v>
      </c>
      <c r="E32" s="1340">
        <f>E13+E14+E16+E18+E20+E23+E24+E25+E26+E27+E29+E30</f>
        <v>402</v>
      </c>
      <c r="F32" s="1340">
        <f>F13+F14+F16+F18+F20+F23+F24+F25+F26+F27+F29+F30</f>
        <v>1319</v>
      </c>
      <c r="G32" s="1340">
        <f>SUM(G14:G31)</f>
        <v>29</v>
      </c>
      <c r="H32" s="1340">
        <v>0</v>
      </c>
      <c r="I32" s="1340">
        <f>SUM(I14:I31)</f>
        <v>1402</v>
      </c>
      <c r="J32" s="1340">
        <f>SUM(J14:J31)</f>
        <v>402</v>
      </c>
      <c r="K32" s="1341">
        <f>SUM(K14:K31)</f>
        <v>1804</v>
      </c>
      <c r="L32" s="95" t="s">
        <v>465</v>
      </c>
      <c r="M32" s="122"/>
      <c r="N32" s="122"/>
      <c r="O32" s="122"/>
      <c r="P32" s="1273"/>
      <c r="Q32" s="1273"/>
      <c r="R32" s="1286"/>
      <c r="S32" s="1286"/>
      <c r="T32" s="1315"/>
    </row>
    <row r="33" spans="1:20" x14ac:dyDescent="0.2">
      <c r="A33" s="1313"/>
      <c r="B33" s="1376">
        <f t="shared" si="0"/>
        <v>23</v>
      </c>
      <c r="C33" s="1287" t="s">
        <v>67</v>
      </c>
      <c r="D33" s="1289"/>
      <c r="E33" s="1289"/>
      <c r="F33" s="1289"/>
      <c r="G33" s="1289"/>
      <c r="H33" s="1289"/>
      <c r="I33" s="1289"/>
      <c r="J33" s="1289"/>
      <c r="K33" s="1330"/>
      <c r="L33" s="1281" t="s">
        <v>68</v>
      </c>
      <c r="M33" s="1288">
        <f>SUM(M27:M32)</f>
        <v>6175</v>
      </c>
      <c r="N33" s="1288">
        <f>SUM(N27:N32)</f>
        <v>6335</v>
      </c>
      <c r="O33" s="1288">
        <f>SUM(O27:O31)</f>
        <v>12510</v>
      </c>
      <c r="P33" s="1289">
        <v>0</v>
      </c>
      <c r="Q33" s="1289">
        <v>0</v>
      </c>
      <c r="R33" s="1289">
        <f>SUM(R27:R32)</f>
        <v>6175</v>
      </c>
      <c r="S33" s="1289">
        <f>SUM(S27:S32)</f>
        <v>6335</v>
      </c>
      <c r="T33" s="1330">
        <f>SUM(T27:T32)</f>
        <v>12510</v>
      </c>
    </row>
    <row r="34" spans="1:20" x14ac:dyDescent="0.2">
      <c r="A34" s="1313"/>
      <c r="B34" s="1376">
        <f t="shared" si="0"/>
        <v>24</v>
      </c>
      <c r="C34" s="126" t="s">
        <v>51</v>
      </c>
      <c r="D34" s="1273">
        <f t="shared" ref="D34:K34" si="7">SUM(D32:D33)</f>
        <v>1373</v>
      </c>
      <c r="E34" s="1273">
        <f t="shared" si="7"/>
        <v>402</v>
      </c>
      <c r="F34" s="1273">
        <f t="shared" si="7"/>
        <v>1319</v>
      </c>
      <c r="G34" s="1273">
        <f t="shared" si="7"/>
        <v>29</v>
      </c>
      <c r="H34" s="1273">
        <f t="shared" si="7"/>
        <v>0</v>
      </c>
      <c r="I34" s="1273">
        <f t="shared" si="7"/>
        <v>1402</v>
      </c>
      <c r="J34" s="1273">
        <f t="shared" si="7"/>
        <v>402</v>
      </c>
      <c r="K34" s="1331">
        <f t="shared" si="7"/>
        <v>1804</v>
      </c>
      <c r="L34" s="124" t="s">
        <v>69</v>
      </c>
      <c r="M34" s="124">
        <f>M24+M33</f>
        <v>142927</v>
      </c>
      <c r="N34" s="124">
        <f>N24+N33</f>
        <v>148137</v>
      </c>
      <c r="O34" s="124">
        <f>O24+O33</f>
        <v>291064</v>
      </c>
      <c r="P34" s="1273">
        <f>P24+P33</f>
        <v>816</v>
      </c>
      <c r="Q34" s="1273">
        <f t="shared" ref="Q34:T34" si="8">Q24+Q33</f>
        <v>26572</v>
      </c>
      <c r="R34" s="1273">
        <f t="shared" si="8"/>
        <v>143743</v>
      </c>
      <c r="S34" s="1273">
        <f t="shared" si="8"/>
        <v>174709</v>
      </c>
      <c r="T34" s="1331">
        <f t="shared" si="8"/>
        <v>318452</v>
      </c>
    </row>
    <row r="35" spans="1:20" x14ac:dyDescent="0.2">
      <c r="A35" s="1313"/>
      <c r="B35" s="1376">
        <f t="shared" si="0"/>
        <v>25</v>
      </c>
      <c r="C35" s="1279"/>
      <c r="D35" s="122"/>
      <c r="E35" s="122"/>
      <c r="F35" s="122"/>
      <c r="G35" s="122"/>
      <c r="H35" s="122"/>
      <c r="I35" s="122"/>
      <c r="J35" s="122"/>
      <c r="K35" s="1300"/>
      <c r="L35" s="122"/>
      <c r="M35" s="122"/>
      <c r="N35" s="122"/>
      <c r="O35" s="122"/>
      <c r="P35" s="1274"/>
      <c r="Q35" s="1274"/>
      <c r="R35" s="1274"/>
      <c r="S35" s="1274"/>
      <c r="T35" s="1316"/>
    </row>
    <row r="36" spans="1:20" x14ac:dyDescent="0.2">
      <c r="A36" s="1313"/>
      <c r="B36" s="1376">
        <f t="shared" si="0"/>
        <v>26</v>
      </c>
      <c r="C36" s="1279"/>
      <c r="D36" s="122"/>
      <c r="E36" s="122"/>
      <c r="F36" s="122"/>
      <c r="G36" s="122"/>
      <c r="H36" s="122"/>
      <c r="I36" s="122"/>
      <c r="J36" s="122"/>
      <c r="K36" s="1300"/>
      <c r="L36" s="1282"/>
      <c r="M36" s="1282"/>
      <c r="N36" s="1282"/>
      <c r="O36" s="1282"/>
      <c r="P36" s="1274"/>
      <c r="Q36" s="1274"/>
      <c r="R36" s="1274"/>
      <c r="S36" s="1274"/>
      <c r="T36" s="1316"/>
    </row>
    <row r="37" spans="1:20" s="11" customFormat="1" ht="12" thickBot="1" x14ac:dyDescent="0.25">
      <c r="A37" s="1315"/>
      <c r="B37" s="1376">
        <f t="shared" si="0"/>
        <v>27</v>
      </c>
      <c r="C37" s="1279"/>
      <c r="D37" s="122"/>
      <c r="E37" s="122"/>
      <c r="F37" s="122"/>
      <c r="G37" s="122"/>
      <c r="H37" s="122"/>
      <c r="I37" s="122"/>
      <c r="J37" s="122"/>
      <c r="K37" s="1300"/>
      <c r="L37" s="122"/>
      <c r="M37" s="122"/>
      <c r="N37" s="122"/>
      <c r="O37" s="122"/>
      <c r="P37" s="1273"/>
      <c r="Q37" s="1273"/>
      <c r="R37" s="1273"/>
      <c r="S37" s="1273"/>
      <c r="T37" s="1331"/>
    </row>
    <row r="38" spans="1:20" s="11" customFormat="1" ht="12" thickBot="1" x14ac:dyDescent="0.25">
      <c r="A38" s="1315"/>
      <c r="B38" s="1376">
        <f t="shared" si="0"/>
        <v>28</v>
      </c>
      <c r="C38" s="1272" t="s">
        <v>53</v>
      </c>
      <c r="D38" s="1272"/>
      <c r="E38" s="1272"/>
      <c r="F38" s="1272"/>
      <c r="G38" s="1272"/>
      <c r="H38" s="1272"/>
      <c r="I38" s="1272"/>
      <c r="J38" s="1272"/>
      <c r="K38" s="1298"/>
      <c r="L38" s="1272" t="s">
        <v>33</v>
      </c>
      <c r="M38" s="124"/>
      <c r="N38" s="124"/>
      <c r="O38" s="1343"/>
      <c r="P38" s="1273"/>
      <c r="Q38" s="1273"/>
      <c r="R38" s="1273"/>
      <c r="S38" s="1273"/>
      <c r="T38" s="1331"/>
    </row>
    <row r="39" spans="1:20" s="11" customFormat="1" x14ac:dyDescent="0.2">
      <c r="A39" s="1315"/>
      <c r="B39" s="1376">
        <f t="shared" si="0"/>
        <v>29</v>
      </c>
      <c r="C39" s="1290" t="s">
        <v>725</v>
      </c>
      <c r="D39" s="1272"/>
      <c r="E39" s="1272"/>
      <c r="F39" s="1272"/>
      <c r="G39" s="1272"/>
      <c r="H39" s="1272"/>
      <c r="I39" s="1272"/>
      <c r="J39" s="1272"/>
      <c r="K39" s="1298"/>
      <c r="L39" s="1290" t="s">
        <v>4</v>
      </c>
      <c r="M39" s="124"/>
      <c r="N39" s="126"/>
      <c r="O39" s="126"/>
      <c r="P39" s="1273"/>
      <c r="Q39" s="1273"/>
      <c r="R39" s="1273"/>
      <c r="S39" s="1273"/>
      <c r="T39" s="1331"/>
    </row>
    <row r="40" spans="1:20" s="11" customFormat="1" x14ac:dyDescent="0.2">
      <c r="A40" s="1315"/>
      <c r="B40" s="1376">
        <f t="shared" si="0"/>
        <v>30</v>
      </c>
      <c r="C40" s="1279" t="s">
        <v>1014</v>
      </c>
      <c r="D40" s="1272"/>
      <c r="E40" s="1272"/>
      <c r="F40" s="1272"/>
      <c r="G40" s="1272"/>
      <c r="H40" s="1272"/>
      <c r="I40" s="1272"/>
      <c r="J40" s="1272"/>
      <c r="K40" s="1298"/>
      <c r="L40" s="121" t="s">
        <v>3</v>
      </c>
      <c r="M40" s="124"/>
      <c r="N40" s="124"/>
      <c r="O40" s="124"/>
      <c r="P40" s="1273"/>
      <c r="Q40" s="1273"/>
      <c r="R40" s="1273"/>
      <c r="S40" s="1273"/>
      <c r="T40" s="1331"/>
    </row>
    <row r="41" spans="1:20" x14ac:dyDescent="0.2">
      <c r="A41" s="1313"/>
      <c r="B41" s="1376">
        <f t="shared" si="0"/>
        <v>31</v>
      </c>
      <c r="C41" s="95" t="s">
        <v>727</v>
      </c>
      <c r="D41" s="1291"/>
      <c r="E41" s="1291"/>
      <c r="F41" s="1291"/>
      <c r="G41" s="1291"/>
      <c r="H41" s="1291"/>
      <c r="I41" s="1291"/>
      <c r="J41" s="1291"/>
      <c r="K41" s="1301"/>
      <c r="L41" s="95" t="s">
        <v>5</v>
      </c>
      <c r="M41" s="124"/>
      <c r="N41" s="124"/>
      <c r="O41" s="124"/>
      <c r="P41" s="1274"/>
      <c r="Q41" s="1274"/>
      <c r="R41" s="1274"/>
      <c r="S41" s="1274"/>
      <c r="T41" s="1316"/>
    </row>
    <row r="42" spans="1:20" x14ac:dyDescent="0.2">
      <c r="A42" s="1313"/>
      <c r="B42" s="1376">
        <f t="shared" si="0"/>
        <v>32</v>
      </c>
      <c r="C42" s="95" t="s">
        <v>222</v>
      </c>
      <c r="D42" s="95"/>
      <c r="E42" s="95"/>
      <c r="F42" s="95"/>
      <c r="G42" s="95"/>
      <c r="H42" s="95"/>
      <c r="I42" s="95"/>
      <c r="J42" s="95"/>
      <c r="K42" s="1294"/>
      <c r="L42" s="95" t="s">
        <v>6</v>
      </c>
      <c r="M42" s="124"/>
      <c r="N42" s="124"/>
      <c r="O42" s="124"/>
      <c r="P42" s="1274"/>
      <c r="Q42" s="1274"/>
      <c r="R42" s="1274"/>
      <c r="S42" s="1274"/>
      <c r="T42" s="1316"/>
    </row>
    <row r="43" spans="1:20" x14ac:dyDescent="0.2">
      <c r="A43" s="1313"/>
      <c r="B43" s="1376">
        <f t="shared" si="0"/>
        <v>33</v>
      </c>
      <c r="C43" s="1292" t="s">
        <v>223</v>
      </c>
      <c r="D43" s="95"/>
      <c r="E43" s="95"/>
      <c r="F43" s="95">
        <f>D43+E43</f>
        <v>0</v>
      </c>
      <c r="G43" s="95">
        <v>712</v>
      </c>
      <c r="H43" s="95">
        <v>15744</v>
      </c>
      <c r="I43" s="95">
        <f>D43+G43</f>
        <v>712</v>
      </c>
      <c r="J43" s="95">
        <f t="shared" ref="J43" si="9">E43+H43</f>
        <v>15744</v>
      </c>
      <c r="K43" s="1294">
        <f>I43+J43</f>
        <v>16456</v>
      </c>
      <c r="L43" s="95" t="s">
        <v>7</v>
      </c>
      <c r="M43" s="124"/>
      <c r="N43" s="124"/>
      <c r="O43" s="124"/>
      <c r="P43" s="1274"/>
      <c r="Q43" s="1274"/>
      <c r="R43" s="1274"/>
      <c r="S43" s="1274"/>
      <c r="T43" s="1316"/>
    </row>
    <row r="44" spans="1:20" x14ac:dyDescent="0.2">
      <c r="A44" s="1313"/>
      <c r="B44" s="1376">
        <f t="shared" si="0"/>
        <v>34</v>
      </c>
      <c r="C44" s="1292" t="s">
        <v>1012</v>
      </c>
      <c r="D44" s="95"/>
      <c r="E44" s="95"/>
      <c r="F44" s="95"/>
      <c r="G44" s="95"/>
      <c r="H44" s="95"/>
      <c r="I44" s="95"/>
      <c r="J44" s="95"/>
      <c r="K44" s="1294"/>
      <c r="L44" s="95"/>
      <c r="M44" s="124"/>
      <c r="N44" s="124"/>
      <c r="O44" s="124"/>
      <c r="P44" s="1274"/>
      <c r="Q44" s="1274"/>
      <c r="R44" s="1274"/>
      <c r="S44" s="1274"/>
      <c r="T44" s="1316"/>
    </row>
    <row r="45" spans="1:20" x14ac:dyDescent="0.2">
      <c r="A45" s="1313"/>
      <c r="B45" s="1376">
        <f t="shared" si="0"/>
        <v>35</v>
      </c>
      <c r="C45" s="95" t="s">
        <v>728</v>
      </c>
      <c r="D45" s="95"/>
      <c r="E45" s="95"/>
      <c r="F45" s="95"/>
      <c r="G45" s="95"/>
      <c r="H45" s="95"/>
      <c r="I45" s="95"/>
      <c r="J45" s="95"/>
      <c r="K45" s="1294"/>
      <c r="L45" s="95" t="s">
        <v>8</v>
      </c>
      <c r="M45" s="124"/>
      <c r="N45" s="124"/>
      <c r="O45" s="122"/>
      <c r="P45" s="1274"/>
      <c r="Q45" s="1274"/>
      <c r="R45" s="1274"/>
      <c r="S45" s="1274"/>
      <c r="T45" s="1316"/>
    </row>
    <row r="46" spans="1:20" x14ac:dyDescent="0.2">
      <c r="A46" s="1313"/>
      <c r="B46" s="1376">
        <f t="shared" si="0"/>
        <v>36</v>
      </c>
      <c r="C46" s="95" t="s">
        <v>729</v>
      </c>
      <c r="D46" s="1272"/>
      <c r="E46" s="1272"/>
      <c r="F46" s="1272"/>
      <c r="G46" s="1272"/>
      <c r="H46" s="1272"/>
      <c r="I46" s="1272"/>
      <c r="J46" s="1272"/>
      <c r="K46" s="1298"/>
      <c r="L46" s="95" t="s">
        <v>9</v>
      </c>
      <c r="M46" s="124"/>
      <c r="N46" s="124"/>
      <c r="O46" s="122"/>
      <c r="P46" s="1274"/>
      <c r="Q46" s="1274"/>
      <c r="R46" s="1274"/>
      <c r="S46" s="1274"/>
      <c r="T46" s="1316"/>
    </row>
    <row r="47" spans="1:20" x14ac:dyDescent="0.2">
      <c r="A47" s="1313"/>
      <c r="B47" s="1376">
        <f t="shared" si="0"/>
        <v>37</v>
      </c>
      <c r="C47" s="95" t="s">
        <v>226</v>
      </c>
      <c r="D47" s="95"/>
      <c r="E47" s="95"/>
      <c r="F47" s="95"/>
      <c r="G47" s="95"/>
      <c r="H47" s="95"/>
      <c r="I47" s="95"/>
      <c r="J47" s="95"/>
      <c r="K47" s="1294"/>
      <c r="L47" s="95" t="s">
        <v>10</v>
      </c>
      <c r="M47" s="122"/>
      <c r="N47" s="122"/>
      <c r="O47" s="122"/>
      <c r="P47" s="1274"/>
      <c r="Q47" s="1274"/>
      <c r="R47" s="1274"/>
      <c r="S47" s="1274"/>
      <c r="T47" s="1316"/>
    </row>
    <row r="48" spans="1:20" x14ac:dyDescent="0.2">
      <c r="A48" s="1313"/>
      <c r="B48" s="1376">
        <f t="shared" si="0"/>
        <v>38</v>
      </c>
      <c r="C48" s="1292" t="s">
        <v>227</v>
      </c>
      <c r="D48" s="199">
        <f>M24-(D34+D43)</f>
        <v>135379</v>
      </c>
      <c r="E48" s="199">
        <f>N24-(E34+E43)</f>
        <v>141400</v>
      </c>
      <c r="F48" s="199">
        <f>O24-(F34+F43)</f>
        <v>277235</v>
      </c>
      <c r="G48" s="199">
        <f t="shared" ref="G48:K48" si="10">P24-(G34+G43)</f>
        <v>75</v>
      </c>
      <c r="H48" s="199">
        <f t="shared" si="10"/>
        <v>10828</v>
      </c>
      <c r="I48" s="199">
        <f t="shared" si="10"/>
        <v>135454</v>
      </c>
      <c r="J48" s="199">
        <f t="shared" si="10"/>
        <v>152228</v>
      </c>
      <c r="K48" s="1295">
        <f t="shared" si="10"/>
        <v>287682</v>
      </c>
      <c r="L48" s="95" t="s">
        <v>11</v>
      </c>
      <c r="M48" s="122"/>
      <c r="N48" s="122"/>
      <c r="O48" s="122"/>
      <c r="P48" s="1274"/>
      <c r="Q48" s="1274"/>
      <c r="R48" s="1274"/>
      <c r="S48" s="1274"/>
      <c r="T48" s="1316"/>
    </row>
    <row r="49" spans="1:20" x14ac:dyDescent="0.2">
      <c r="A49" s="1313"/>
      <c r="B49" s="1376">
        <f t="shared" si="0"/>
        <v>39</v>
      </c>
      <c r="C49" s="1292" t="s">
        <v>228</v>
      </c>
      <c r="D49" s="95">
        <f>M33-D33</f>
        <v>6175</v>
      </c>
      <c r="E49" s="95">
        <f>N33-E33</f>
        <v>6335</v>
      </c>
      <c r="F49" s="95">
        <f>O33-F33</f>
        <v>12510</v>
      </c>
      <c r="G49" s="95">
        <f t="shared" ref="G49:K49" si="11">P33-G33</f>
        <v>0</v>
      </c>
      <c r="H49" s="95">
        <f t="shared" si="11"/>
        <v>0</v>
      </c>
      <c r="I49" s="95">
        <f t="shared" si="11"/>
        <v>6175</v>
      </c>
      <c r="J49" s="95">
        <f t="shared" si="11"/>
        <v>6335</v>
      </c>
      <c r="K49" s="1294">
        <f t="shared" si="11"/>
        <v>12510</v>
      </c>
      <c r="L49" s="95" t="s">
        <v>12</v>
      </c>
      <c r="M49" s="122"/>
      <c r="N49" s="122"/>
      <c r="O49" s="122"/>
      <c r="P49" s="1274"/>
      <c r="Q49" s="1274"/>
      <c r="R49" s="1274"/>
      <c r="S49" s="1274"/>
      <c r="T49" s="1316"/>
    </row>
    <row r="50" spans="1:20" x14ac:dyDescent="0.2">
      <c r="A50" s="1313"/>
      <c r="B50" s="1376">
        <f t="shared" si="0"/>
        <v>40</v>
      </c>
      <c r="C50" s="95" t="s">
        <v>1</v>
      </c>
      <c r="D50" s="95"/>
      <c r="E50" s="95"/>
      <c r="F50" s="95"/>
      <c r="G50" s="95"/>
      <c r="H50" s="95"/>
      <c r="I50" s="95"/>
      <c r="J50" s="95"/>
      <c r="K50" s="1294"/>
      <c r="L50" s="95" t="s">
        <v>13</v>
      </c>
      <c r="M50" s="122"/>
      <c r="N50" s="122"/>
      <c r="O50" s="122"/>
      <c r="P50" s="1274"/>
      <c r="Q50" s="1274"/>
      <c r="R50" s="1274"/>
      <c r="S50" s="1274"/>
      <c r="T50" s="1316"/>
    </row>
    <row r="51" spans="1:20" x14ac:dyDescent="0.2">
      <c r="A51" s="1313"/>
      <c r="B51" s="1376">
        <f t="shared" si="0"/>
        <v>41</v>
      </c>
      <c r="C51" s="95"/>
      <c r="D51" s="95"/>
      <c r="E51" s="95"/>
      <c r="F51" s="95"/>
      <c r="G51" s="95"/>
      <c r="H51" s="95"/>
      <c r="I51" s="95"/>
      <c r="J51" s="95"/>
      <c r="K51" s="1294"/>
      <c r="L51" s="95" t="s">
        <v>14</v>
      </c>
      <c r="M51" s="122"/>
      <c r="N51" s="122"/>
      <c r="O51" s="122"/>
      <c r="P51" s="1274"/>
      <c r="Q51" s="1274"/>
      <c r="R51" s="1274"/>
      <c r="S51" s="1274"/>
      <c r="T51" s="1316"/>
    </row>
    <row r="52" spans="1:20" x14ac:dyDescent="0.2">
      <c r="A52" s="1313"/>
      <c r="B52" s="1376">
        <f t="shared" si="0"/>
        <v>42</v>
      </c>
      <c r="C52" s="95"/>
      <c r="D52" s="95"/>
      <c r="E52" s="95"/>
      <c r="F52" s="95"/>
      <c r="G52" s="95"/>
      <c r="H52" s="95"/>
      <c r="I52" s="95"/>
      <c r="J52" s="95"/>
      <c r="K52" s="1294"/>
      <c r="L52" s="95" t="s">
        <v>15</v>
      </c>
      <c r="M52" s="122"/>
      <c r="N52" s="122"/>
      <c r="O52" s="122"/>
      <c r="P52" s="1274"/>
      <c r="Q52" s="1274"/>
      <c r="R52" s="1274"/>
      <c r="S52" s="1274"/>
      <c r="T52" s="1316"/>
    </row>
    <row r="53" spans="1:20" ht="12" thickBot="1" x14ac:dyDescent="0.25">
      <c r="A53" s="1313"/>
      <c r="B53" s="1376">
        <f t="shared" si="0"/>
        <v>43</v>
      </c>
      <c r="C53" s="126" t="s">
        <v>473</v>
      </c>
      <c r="D53" s="1272">
        <f>SUM(D39:D51)</f>
        <v>141554</v>
      </c>
      <c r="E53" s="1272">
        <f>SUM(E39:E51)</f>
        <v>147735</v>
      </c>
      <c r="F53" s="1272">
        <f>SUM(F39:F51)</f>
        <v>289745</v>
      </c>
      <c r="G53" s="1272">
        <f>SUM(G43:G52)</f>
        <v>787</v>
      </c>
      <c r="H53" s="1272">
        <f>SUM(H43:H52)</f>
        <v>26572</v>
      </c>
      <c r="I53" s="1272">
        <f>SUM(I43:I52)</f>
        <v>142341</v>
      </c>
      <c r="J53" s="1272">
        <f>SUM(J43:J52)</f>
        <v>174307</v>
      </c>
      <c r="K53" s="1298">
        <f>SUM(K43:K52)</f>
        <v>316648</v>
      </c>
      <c r="L53" s="1272" t="s">
        <v>466</v>
      </c>
      <c r="M53" s="124">
        <f>SUM(M39:M52)</f>
        <v>0</v>
      </c>
      <c r="N53" s="124">
        <f>SUM(N39:N52)</f>
        <v>0</v>
      </c>
      <c r="O53" s="124">
        <f>SUM(O39:O52)</f>
        <v>0</v>
      </c>
      <c r="P53" s="1274">
        <v>0</v>
      </c>
      <c r="Q53" s="1274">
        <v>0</v>
      </c>
      <c r="R53" s="1274">
        <f>M53+P53</f>
        <v>0</v>
      </c>
      <c r="S53" s="1274">
        <f>N53+Q53</f>
        <v>0</v>
      </c>
      <c r="T53" s="1316">
        <f>R53+S53</f>
        <v>0</v>
      </c>
    </row>
    <row r="54" spans="1:20" ht="12" thickBot="1" x14ac:dyDescent="0.25">
      <c r="A54" s="1313"/>
      <c r="B54" s="737">
        <f t="shared" si="0"/>
        <v>44</v>
      </c>
      <c r="C54" s="1317" t="s">
        <v>468</v>
      </c>
      <c r="D54" s="697">
        <f>D34+D53</f>
        <v>142927</v>
      </c>
      <c r="E54" s="697">
        <f>E34+E53</f>
        <v>148137</v>
      </c>
      <c r="F54" s="697">
        <f>F34+F53</f>
        <v>291064</v>
      </c>
      <c r="G54" s="697">
        <f>G34+G53</f>
        <v>816</v>
      </c>
      <c r="H54" s="697">
        <f t="shared" ref="H54:K54" si="12">H34+H53</f>
        <v>26572</v>
      </c>
      <c r="I54" s="697">
        <f t="shared" si="12"/>
        <v>143743</v>
      </c>
      <c r="J54" s="697">
        <f t="shared" si="12"/>
        <v>174709</v>
      </c>
      <c r="K54" s="1338">
        <f t="shared" si="12"/>
        <v>318452</v>
      </c>
      <c r="L54" s="1317" t="s">
        <v>467</v>
      </c>
      <c r="M54" s="697">
        <f>M34+M53</f>
        <v>142927</v>
      </c>
      <c r="N54" s="697">
        <f>N34+N53</f>
        <v>148137</v>
      </c>
      <c r="O54" s="697">
        <f>O34+O53</f>
        <v>291064</v>
      </c>
      <c r="P54" s="739">
        <f>P34+P53</f>
        <v>816</v>
      </c>
      <c r="Q54" s="739">
        <f t="shared" ref="Q54:T54" si="13">Q34+Q53</f>
        <v>26572</v>
      </c>
      <c r="R54" s="739">
        <f t="shared" si="13"/>
        <v>143743</v>
      </c>
      <c r="S54" s="739">
        <f t="shared" si="13"/>
        <v>174709</v>
      </c>
      <c r="T54" s="1318">
        <f t="shared" si="13"/>
        <v>318452</v>
      </c>
    </row>
    <row r="55" spans="1:20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</row>
  </sheetData>
  <sheetProtection selectLockedCells="1" selectUnlockedCells="1"/>
  <mergeCells count="16">
    <mergeCell ref="P9:Q9"/>
    <mergeCell ref="R9:T9"/>
    <mergeCell ref="M8:T8"/>
    <mergeCell ref="D8:K8"/>
    <mergeCell ref="D1:T1"/>
    <mergeCell ref="C4:T4"/>
    <mergeCell ref="C5:T5"/>
    <mergeCell ref="C6:T6"/>
    <mergeCell ref="B7:T7"/>
    <mergeCell ref="B8:B10"/>
    <mergeCell ref="C8:C9"/>
    <mergeCell ref="D9:F9"/>
    <mergeCell ref="M9:O9"/>
    <mergeCell ref="L8:L9"/>
    <mergeCell ref="G9:H9"/>
    <mergeCell ref="I9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39" customWidth="1"/>
    <col min="2" max="2" width="33" style="92" customWidth="1"/>
    <col min="3" max="3" width="10.7109375" style="94" customWidth="1"/>
    <col min="4" max="4" width="12.28515625" style="94" customWidth="1"/>
    <col min="5" max="5" width="9.140625" style="94"/>
    <col min="6" max="6" width="11.28515625" style="94" customWidth="1"/>
    <col min="7" max="7" width="11.140625" style="94" customWidth="1"/>
    <col min="8" max="10" width="10" style="94" customWidth="1"/>
    <col min="11" max="11" width="11.28515625" style="94" customWidth="1"/>
    <col min="12" max="12" width="7.28515625" style="209" hidden="1" customWidth="1"/>
    <col min="13" max="13" width="8.5703125" style="209" hidden="1" customWidth="1"/>
    <col min="14" max="14" width="7.5703125" style="209" hidden="1" customWidth="1"/>
    <col min="15" max="15" width="8.28515625" style="209" hidden="1" customWidth="1"/>
    <col min="16" max="16" width="5.7109375" style="209" hidden="1" customWidth="1"/>
    <col min="17" max="17" width="8" style="209" hidden="1" customWidth="1"/>
    <col min="18" max="18" width="6.140625" style="209" hidden="1" customWidth="1"/>
    <col min="19" max="19" width="4.42578125" style="406" customWidth="1"/>
    <col min="20" max="16384" width="9.140625" style="77"/>
  </cols>
  <sheetData>
    <row r="1" spans="1:19" ht="17.25" customHeight="1" x14ac:dyDescent="0.2">
      <c r="B1" s="1537" t="s">
        <v>310</v>
      </c>
      <c r="C1" s="1537"/>
      <c r="D1" s="1537"/>
      <c r="E1" s="1537"/>
      <c r="F1" s="1537"/>
      <c r="G1" s="1537"/>
      <c r="H1" s="1537"/>
      <c r="I1" s="1537"/>
      <c r="J1" s="1537"/>
      <c r="K1" s="1538"/>
      <c r="L1" s="1453"/>
      <c r="M1" s="1453"/>
      <c r="N1" s="1453"/>
      <c r="O1" s="1453"/>
      <c r="P1" s="1453"/>
      <c r="Q1" s="1453"/>
      <c r="R1" s="1453"/>
    </row>
    <row r="2" spans="1:19" ht="13.5" customHeight="1" x14ac:dyDescent="0.2">
      <c r="A2" s="1541" t="s">
        <v>87</v>
      </c>
      <c r="B2" s="1541"/>
      <c r="C2" s="1541"/>
      <c r="D2" s="1541"/>
      <c r="E2" s="1541"/>
      <c r="F2" s="1541"/>
      <c r="G2" s="1541"/>
      <c r="H2" s="1541"/>
      <c r="I2" s="1541"/>
      <c r="J2" s="1541"/>
      <c r="K2" s="1541"/>
      <c r="L2" s="77"/>
      <c r="M2" s="77"/>
      <c r="N2" s="77"/>
      <c r="O2" s="77"/>
      <c r="P2" s="77"/>
      <c r="Q2" s="77"/>
      <c r="R2" s="77"/>
      <c r="S2" s="395"/>
    </row>
    <row r="3" spans="1:19" s="79" customFormat="1" ht="12" customHeight="1" x14ac:dyDescent="0.2">
      <c r="A3" s="1387" t="s">
        <v>308</v>
      </c>
      <c r="B3" s="1539"/>
      <c r="C3" s="1539"/>
      <c r="D3" s="1539"/>
      <c r="E3" s="1539"/>
      <c r="F3" s="1539"/>
      <c r="G3" s="1539"/>
      <c r="H3" s="1539"/>
      <c r="I3" s="1539"/>
      <c r="J3" s="1539"/>
      <c r="K3" s="1539"/>
      <c r="L3" s="1453"/>
      <c r="M3" s="1453"/>
      <c r="N3" s="1453"/>
      <c r="O3" s="1453"/>
      <c r="P3" s="1453"/>
      <c r="Q3" s="1453"/>
      <c r="R3" s="1453"/>
      <c r="S3" s="407"/>
    </row>
    <row r="4" spans="1:19" s="79" customFormat="1" ht="23.25" customHeight="1" thickBot="1" x14ac:dyDescent="0.25">
      <c r="A4" s="140"/>
      <c r="B4" s="141"/>
      <c r="C4" s="142"/>
      <c r="D4" s="142"/>
      <c r="E4" s="142"/>
      <c r="F4" s="142"/>
      <c r="G4" s="1542" t="s">
        <v>320</v>
      </c>
      <c r="H4" s="1542"/>
      <c r="I4" s="1542"/>
      <c r="J4" s="1542"/>
      <c r="K4" s="1542"/>
      <c r="L4" s="241"/>
      <c r="M4" s="241"/>
      <c r="N4" s="241"/>
      <c r="O4" s="241"/>
      <c r="P4" s="241"/>
      <c r="Q4" s="241"/>
      <c r="R4" s="241"/>
      <c r="S4" s="407"/>
    </row>
    <row r="5" spans="1:19" s="93" customFormat="1" ht="17.25" customHeight="1" thickBot="1" x14ac:dyDescent="0.25">
      <c r="A5" s="1547" t="s">
        <v>497</v>
      </c>
      <c r="B5" s="1544" t="s">
        <v>562</v>
      </c>
      <c r="C5" s="1540" t="s">
        <v>57</v>
      </c>
      <c r="D5" s="1540"/>
      <c r="E5" s="1540" t="s">
        <v>58</v>
      </c>
      <c r="F5" s="1540"/>
      <c r="G5" s="1540" t="s">
        <v>59</v>
      </c>
      <c r="H5" s="1540"/>
      <c r="I5" s="1548" t="s">
        <v>60</v>
      </c>
      <c r="J5" s="1549"/>
      <c r="K5" s="143" t="s">
        <v>498</v>
      </c>
      <c r="L5" s="208"/>
      <c r="S5" s="395"/>
    </row>
    <row r="6" spans="1:19" s="93" customFormat="1" ht="17.25" customHeight="1" thickBot="1" x14ac:dyDescent="0.25">
      <c r="A6" s="1547"/>
      <c r="B6" s="1544"/>
      <c r="C6" s="1397" t="s">
        <v>307</v>
      </c>
      <c r="D6" s="1545"/>
      <c r="E6" s="1545"/>
      <c r="F6" s="1545"/>
      <c r="G6" s="1545"/>
      <c r="H6" s="1545"/>
      <c r="I6" s="1545"/>
      <c r="J6" s="1545"/>
      <c r="K6" s="1546"/>
      <c r="L6" s="208"/>
      <c r="S6" s="395"/>
    </row>
    <row r="7" spans="1:19" ht="40.15" customHeight="1" thickBot="1" x14ac:dyDescent="0.25">
      <c r="A7" s="1547"/>
      <c r="B7" s="1544"/>
      <c r="C7" s="1532" t="s">
        <v>477</v>
      </c>
      <c r="D7" s="1532"/>
      <c r="E7" s="1532" t="s">
        <v>478</v>
      </c>
      <c r="F7" s="1532"/>
      <c r="G7" s="1532" t="s">
        <v>22</v>
      </c>
      <c r="H7" s="1532"/>
      <c r="I7" s="1533" t="s">
        <v>269</v>
      </c>
      <c r="J7" s="1534"/>
      <c r="K7" s="1543" t="s">
        <v>563</v>
      </c>
      <c r="M7" s="77"/>
      <c r="N7" s="77"/>
      <c r="O7" s="77"/>
      <c r="P7" s="77"/>
      <c r="Q7" s="77"/>
      <c r="R7" s="77"/>
      <c r="S7" s="395"/>
    </row>
    <row r="8" spans="1:19" ht="50.25" customHeight="1" thickBot="1" x14ac:dyDescent="0.25">
      <c r="A8" s="1547"/>
      <c r="B8" s="1544"/>
      <c r="C8" s="1532"/>
      <c r="D8" s="1532"/>
      <c r="E8" s="1532"/>
      <c r="F8" s="1532"/>
      <c r="G8" s="1532"/>
      <c r="H8" s="1532"/>
      <c r="I8" s="1535"/>
      <c r="J8" s="1536"/>
      <c r="K8" s="1543"/>
      <c r="M8" s="77"/>
      <c r="N8" s="77"/>
      <c r="O8" s="77"/>
      <c r="P8" s="77"/>
      <c r="Q8" s="77"/>
      <c r="R8" s="77"/>
      <c r="S8" s="395"/>
    </row>
    <row r="9" spans="1:19" ht="33" customHeight="1" thickBot="1" x14ac:dyDescent="0.25">
      <c r="A9" s="1547"/>
      <c r="B9" s="1544"/>
      <c r="C9" s="144" t="s">
        <v>62</v>
      </c>
      <c r="D9" s="145" t="s">
        <v>63</v>
      </c>
      <c r="E9" s="144" t="s">
        <v>62</v>
      </c>
      <c r="F9" s="144" t="s">
        <v>63</v>
      </c>
      <c r="G9" s="144" t="s">
        <v>62</v>
      </c>
      <c r="H9" s="144" t="s">
        <v>63</v>
      </c>
      <c r="I9" s="144" t="s">
        <v>62</v>
      </c>
      <c r="J9" s="144" t="s">
        <v>63</v>
      </c>
      <c r="K9" s="1543"/>
      <c r="M9" s="77"/>
      <c r="N9" s="77"/>
      <c r="O9" s="77"/>
      <c r="P9" s="77"/>
      <c r="Q9" s="77"/>
      <c r="R9" s="77"/>
      <c r="S9" s="395"/>
    </row>
    <row r="10" spans="1:19" ht="17.25" customHeight="1" x14ac:dyDescent="0.2">
      <c r="A10" s="146" t="s">
        <v>507</v>
      </c>
      <c r="B10" s="147" t="s">
        <v>259</v>
      </c>
      <c r="C10" s="148">
        <v>1600</v>
      </c>
      <c r="E10" s="149"/>
      <c r="F10" s="150"/>
      <c r="G10" s="149"/>
      <c r="H10" s="368"/>
      <c r="I10" s="150"/>
      <c r="J10" s="150"/>
      <c r="K10" s="151">
        <f t="shared" ref="K10:K39" si="0">SUM(C10:J10)</f>
        <v>1600</v>
      </c>
      <c r="M10" s="77"/>
      <c r="N10" s="77"/>
      <c r="O10" s="77"/>
      <c r="P10" s="77"/>
      <c r="Q10" s="77"/>
      <c r="R10" s="77"/>
      <c r="S10" s="395"/>
    </row>
    <row r="11" spans="1:19" s="78" customFormat="1" ht="17.25" customHeight="1" x14ac:dyDescent="0.2">
      <c r="A11" s="146" t="s">
        <v>515</v>
      </c>
      <c r="B11" s="364" t="s">
        <v>260</v>
      </c>
      <c r="C11" s="365">
        <v>33533</v>
      </c>
      <c r="D11" s="366"/>
      <c r="E11" s="416">
        <f>'közhatalmi bevételek'!D26</f>
        <v>9000</v>
      </c>
      <c r="F11" s="152"/>
      <c r="G11" s="153"/>
      <c r="H11" s="369"/>
      <c r="I11" s="152"/>
      <c r="J11" s="152"/>
      <c r="K11" s="151">
        <f t="shared" si="0"/>
        <v>42533</v>
      </c>
      <c r="L11" s="199"/>
      <c r="S11" s="408"/>
    </row>
    <row r="12" spans="1:19" ht="17.25" customHeight="1" x14ac:dyDescent="0.2">
      <c r="A12" s="146" t="s">
        <v>516</v>
      </c>
      <c r="B12" s="121" t="s">
        <v>261</v>
      </c>
      <c r="C12" s="105"/>
      <c r="D12" s="95">
        <v>53</v>
      </c>
      <c r="E12" s="96"/>
      <c r="F12" s="95"/>
      <c r="G12" s="96"/>
      <c r="H12" s="334"/>
      <c r="I12" s="95"/>
      <c r="J12" s="95"/>
      <c r="K12" s="151">
        <f t="shared" si="0"/>
        <v>53</v>
      </c>
      <c r="M12" s="77"/>
      <c r="N12" s="77"/>
      <c r="O12" s="77"/>
      <c r="P12" s="77"/>
      <c r="Q12" s="77"/>
      <c r="R12" s="77"/>
      <c r="S12" s="395"/>
    </row>
    <row r="13" spans="1:19" ht="17.25" customHeight="1" x14ac:dyDescent="0.2">
      <c r="A13" s="146" t="s">
        <v>517</v>
      </c>
      <c r="B13" s="121" t="s">
        <v>262</v>
      </c>
      <c r="C13" s="105"/>
      <c r="D13" s="95">
        <v>391</v>
      </c>
      <c r="E13" s="96"/>
      <c r="F13" s="95"/>
      <c r="G13" s="96"/>
      <c r="H13" s="370"/>
      <c r="I13" s="154"/>
      <c r="J13" s="154"/>
      <c r="K13" s="151">
        <f t="shared" si="0"/>
        <v>391</v>
      </c>
      <c r="M13" s="77"/>
      <c r="N13" s="77"/>
      <c r="O13" s="77"/>
      <c r="P13" s="77"/>
      <c r="Q13" s="77"/>
      <c r="R13" s="77"/>
      <c r="S13" s="395"/>
    </row>
    <row r="14" spans="1:19" ht="17.25" customHeight="1" x14ac:dyDescent="0.2">
      <c r="A14" s="146" t="s">
        <v>518</v>
      </c>
      <c r="B14" s="121" t="s">
        <v>263</v>
      </c>
      <c r="C14" s="105"/>
      <c r="D14" s="95"/>
      <c r="E14" s="96"/>
      <c r="F14" s="95"/>
      <c r="G14" s="96"/>
      <c r="H14" s="370"/>
      <c r="I14" s="154"/>
      <c r="J14" s="154"/>
      <c r="K14" s="151">
        <f t="shared" si="0"/>
        <v>0</v>
      </c>
      <c r="M14" s="77"/>
      <c r="N14" s="77"/>
      <c r="O14" s="77"/>
      <c r="P14" s="77"/>
      <c r="Q14" s="77"/>
      <c r="R14" s="77"/>
      <c r="S14" s="395"/>
    </row>
    <row r="15" spans="1:19" ht="17.25" customHeight="1" x14ac:dyDescent="0.2">
      <c r="A15" s="146" t="s">
        <v>519</v>
      </c>
      <c r="B15" s="121" t="s">
        <v>264</v>
      </c>
      <c r="C15" s="105"/>
      <c r="D15" s="95">
        <v>20031</v>
      </c>
      <c r="E15" s="96"/>
      <c r="F15" s="95"/>
      <c r="G15" s="96"/>
      <c r="H15" s="370"/>
      <c r="I15" s="154"/>
      <c r="J15" s="154"/>
      <c r="K15" s="151">
        <f t="shared" si="0"/>
        <v>20031</v>
      </c>
      <c r="M15" s="77"/>
      <c r="N15" s="77"/>
      <c r="O15" s="77"/>
      <c r="P15" s="77"/>
      <c r="Q15" s="77"/>
      <c r="R15" s="77"/>
      <c r="S15" s="395"/>
    </row>
    <row r="16" spans="1:19" ht="17.25" customHeight="1" x14ac:dyDescent="0.2">
      <c r="A16" s="146" t="s">
        <v>520</v>
      </c>
      <c r="B16" s="121" t="s">
        <v>265</v>
      </c>
      <c r="C16" s="105">
        <v>3600</v>
      </c>
      <c r="D16" s="95">
        <v>8084</v>
      </c>
      <c r="E16" s="96"/>
      <c r="F16" s="95"/>
      <c r="G16" s="96"/>
      <c r="H16" s="370"/>
      <c r="I16" s="154"/>
      <c r="J16" s="154"/>
      <c r="K16" s="151">
        <f t="shared" si="0"/>
        <v>11684</v>
      </c>
      <c r="M16" s="77"/>
      <c r="N16" s="77"/>
      <c r="O16" s="77"/>
      <c r="P16" s="77"/>
      <c r="Q16" s="77"/>
      <c r="R16" s="77"/>
      <c r="S16" s="395"/>
    </row>
    <row r="17" spans="1:19" ht="17.25" customHeight="1" x14ac:dyDescent="0.2">
      <c r="A17" s="146" t="s">
        <v>521</v>
      </c>
      <c r="B17" s="121" t="s">
        <v>266</v>
      </c>
      <c r="C17" s="105"/>
      <c r="D17" s="95">
        <v>10160</v>
      </c>
      <c r="E17" s="96"/>
      <c r="F17" s="95"/>
      <c r="G17" s="96"/>
      <c r="H17" s="370"/>
      <c r="I17" s="154"/>
      <c r="J17" s="154"/>
      <c r="K17" s="151">
        <f t="shared" si="0"/>
        <v>10160</v>
      </c>
      <c r="M17" s="77"/>
      <c r="N17" s="77"/>
      <c r="O17" s="77"/>
      <c r="P17" s="77"/>
      <c r="Q17" s="77"/>
      <c r="R17" s="77"/>
      <c r="S17" s="395"/>
    </row>
    <row r="18" spans="1:19" ht="17.25" customHeight="1" x14ac:dyDescent="0.2">
      <c r="A18" s="146" t="s">
        <v>522</v>
      </c>
      <c r="B18" s="121" t="s">
        <v>267</v>
      </c>
      <c r="C18" s="105">
        <v>183</v>
      </c>
      <c r="D18" s="95"/>
      <c r="E18" s="96"/>
      <c r="F18" s="95"/>
      <c r="G18" s="96"/>
      <c r="H18" s="370"/>
      <c r="I18" s="154"/>
      <c r="J18" s="154"/>
      <c r="K18" s="151">
        <f t="shared" si="0"/>
        <v>183</v>
      </c>
      <c r="M18" s="77"/>
      <c r="N18" s="77"/>
      <c r="O18" s="77"/>
      <c r="P18" s="77"/>
      <c r="Q18" s="77"/>
      <c r="R18" s="77"/>
      <c r="S18" s="395"/>
    </row>
    <row r="19" spans="1:19" ht="17.25" customHeight="1" x14ac:dyDescent="0.2">
      <c r="A19" s="146" t="s">
        <v>564</v>
      </c>
      <c r="B19" s="123" t="s">
        <v>268</v>
      </c>
      <c r="C19" s="105">
        <v>1288</v>
      </c>
      <c r="D19" s="95">
        <v>2062</v>
      </c>
      <c r="E19" s="96"/>
      <c r="F19" s="95"/>
      <c r="G19" s="96">
        <f>'tám, végl. pe.átv  '!C36</f>
        <v>0</v>
      </c>
      <c r="H19" s="334"/>
      <c r="J19" s="94">
        <v>0</v>
      </c>
      <c r="K19" s="151">
        <f>SUM(C19:J19)</f>
        <v>3350</v>
      </c>
      <c r="M19" s="77"/>
      <c r="N19" s="77"/>
      <c r="O19" s="77"/>
      <c r="P19" s="77"/>
      <c r="Q19" s="77"/>
      <c r="R19" s="77"/>
      <c r="S19" s="395"/>
    </row>
    <row r="20" spans="1:19" ht="17.25" customHeight="1" x14ac:dyDescent="0.2">
      <c r="A20" s="146" t="s">
        <v>565</v>
      </c>
      <c r="B20" s="121" t="s">
        <v>291</v>
      </c>
      <c r="C20" s="105">
        <v>25</v>
      </c>
      <c r="D20" s="95"/>
      <c r="E20" s="96"/>
      <c r="F20" s="95"/>
      <c r="G20" s="354">
        <v>447</v>
      </c>
      <c r="H20" s="371"/>
      <c r="I20" s="210"/>
      <c r="J20" s="210"/>
      <c r="K20" s="151">
        <f t="shared" si="0"/>
        <v>472</v>
      </c>
      <c r="M20" s="77"/>
      <c r="N20" s="77"/>
      <c r="O20" s="77"/>
      <c r="P20" s="77"/>
      <c r="Q20" s="77"/>
      <c r="R20" s="77"/>
      <c r="S20" s="395"/>
    </row>
    <row r="21" spans="1:19" s="79" customFormat="1" ht="17.25" customHeight="1" x14ac:dyDescent="0.2">
      <c r="A21" s="146" t="s">
        <v>566</v>
      </c>
      <c r="B21" s="121" t="s">
        <v>292</v>
      </c>
      <c r="C21" s="105"/>
      <c r="D21" s="95"/>
      <c r="E21" s="96"/>
      <c r="F21" s="95"/>
      <c r="G21" s="354">
        <f>'tám, végl. pe.átv  '!C11</f>
        <v>730371</v>
      </c>
      <c r="H21" s="347">
        <f>'tám, végl. pe.átv  '!D11</f>
        <v>93769</v>
      </c>
      <c r="I21" s="199"/>
      <c r="J21" s="199"/>
      <c r="K21" s="151">
        <f t="shared" si="0"/>
        <v>824140</v>
      </c>
      <c r="L21" s="210"/>
      <c r="S21" s="409"/>
    </row>
    <row r="22" spans="1:19" ht="17.25" customHeight="1" x14ac:dyDescent="0.2">
      <c r="A22" s="146" t="s">
        <v>567</v>
      </c>
      <c r="B22" s="121" t="s">
        <v>293</v>
      </c>
      <c r="C22" s="105"/>
      <c r="D22" s="95"/>
      <c r="E22" s="96"/>
      <c r="F22" s="95"/>
      <c r="G22" s="354">
        <f>'tám, végl. pe.átv  '!C17</f>
        <v>10611</v>
      </c>
      <c r="H22" s="371"/>
      <c r="I22" s="210"/>
      <c r="J22" s="210"/>
      <c r="K22" s="151">
        <f t="shared" si="0"/>
        <v>10611</v>
      </c>
      <c r="M22" s="77"/>
      <c r="N22" s="77"/>
      <c r="O22" s="77"/>
      <c r="P22" s="77"/>
      <c r="Q22" s="77"/>
      <c r="R22" s="77"/>
      <c r="S22" s="395"/>
    </row>
    <row r="23" spans="1:19" ht="17.25" customHeight="1" x14ac:dyDescent="0.2">
      <c r="A23" s="146" t="s">
        <v>568</v>
      </c>
      <c r="B23" s="121" t="s">
        <v>305</v>
      </c>
      <c r="C23" s="105"/>
      <c r="D23" s="95"/>
      <c r="E23" s="96"/>
      <c r="F23" s="95"/>
      <c r="G23" s="354"/>
      <c r="H23" s="347">
        <f>'tám, végl. pe.átv  '!D18</f>
        <v>0</v>
      </c>
      <c r="I23" s="210"/>
      <c r="J23" s="210"/>
      <c r="K23" s="151">
        <f t="shared" si="0"/>
        <v>0</v>
      </c>
      <c r="M23" s="77"/>
      <c r="N23" s="77"/>
      <c r="O23" s="77"/>
      <c r="P23" s="77"/>
      <c r="Q23" s="77"/>
      <c r="R23" s="77"/>
      <c r="S23" s="395"/>
    </row>
    <row r="24" spans="1:19" ht="17.25" customHeight="1" x14ac:dyDescent="0.2">
      <c r="A24" s="146" t="s">
        <v>569</v>
      </c>
      <c r="B24" s="121" t="s">
        <v>306</v>
      </c>
      <c r="C24" s="105"/>
      <c r="D24" s="95"/>
      <c r="E24" s="96"/>
      <c r="F24" s="95"/>
      <c r="G24" s="354">
        <v>1300</v>
      </c>
      <c r="H24" s="371"/>
      <c r="I24" s="210"/>
      <c r="J24" s="210"/>
      <c r="K24" s="151">
        <f t="shared" si="0"/>
        <v>1300</v>
      </c>
      <c r="M24" s="77"/>
      <c r="N24" s="77"/>
      <c r="O24" s="77"/>
      <c r="P24" s="77"/>
      <c r="Q24" s="77"/>
      <c r="R24" s="77"/>
      <c r="S24" s="395"/>
    </row>
    <row r="25" spans="1:19" ht="17.25" customHeight="1" x14ac:dyDescent="0.2">
      <c r="A25" s="146" t="s">
        <v>570</v>
      </c>
      <c r="B25" s="121" t="s">
        <v>294</v>
      </c>
      <c r="C25" s="105"/>
      <c r="D25" s="95"/>
      <c r="E25" s="96"/>
      <c r="F25" s="95"/>
      <c r="G25" s="354">
        <v>14203</v>
      </c>
      <c r="H25" s="347"/>
      <c r="I25" s="199"/>
      <c r="J25" s="199"/>
      <c r="K25" s="151">
        <f t="shared" si="0"/>
        <v>14203</v>
      </c>
      <c r="M25" s="77"/>
      <c r="N25" s="77"/>
      <c r="O25" s="77"/>
      <c r="P25" s="77"/>
      <c r="Q25" s="77"/>
      <c r="R25" s="77"/>
      <c r="S25" s="395"/>
    </row>
    <row r="26" spans="1:19" ht="17.25" customHeight="1" x14ac:dyDescent="0.2">
      <c r="A26" s="146" t="s">
        <v>571</v>
      </c>
      <c r="B26" s="121" t="s">
        <v>270</v>
      </c>
      <c r="C26" s="105"/>
      <c r="E26" s="96">
        <f>'közhatalmi bevételek'!D13</f>
        <v>424986</v>
      </c>
      <c r="F26" s="95">
        <f>'közhatalmi bevételek'!E13</f>
        <v>779014</v>
      </c>
      <c r="G26" s="96"/>
      <c r="H26" s="370"/>
      <c r="I26" s="154"/>
      <c r="J26" s="154"/>
      <c r="K26" s="151">
        <f t="shared" si="0"/>
        <v>1204000</v>
      </c>
      <c r="M26" s="77"/>
      <c r="N26" s="77"/>
      <c r="O26" s="77"/>
      <c r="P26" s="77"/>
      <c r="Q26" s="77"/>
      <c r="R26" s="77"/>
      <c r="S26" s="395"/>
    </row>
    <row r="27" spans="1:19" ht="17.25" customHeight="1" x14ac:dyDescent="0.2">
      <c r="A27" s="146" t="s">
        <v>573</v>
      </c>
      <c r="B27" s="123" t="s">
        <v>572</v>
      </c>
      <c r="C27" s="105"/>
      <c r="E27" s="96"/>
      <c r="F27" s="95"/>
      <c r="G27" s="96"/>
      <c r="H27" s="370"/>
      <c r="I27" s="154"/>
      <c r="J27" s="154"/>
      <c r="K27" s="151">
        <f t="shared" si="0"/>
        <v>0</v>
      </c>
      <c r="M27" s="77"/>
      <c r="N27" s="77"/>
      <c r="O27" s="77"/>
      <c r="P27" s="77"/>
      <c r="Q27" s="77"/>
      <c r="R27" s="77"/>
      <c r="S27" s="395"/>
    </row>
    <row r="28" spans="1:19" ht="17.25" customHeight="1" x14ac:dyDescent="0.2">
      <c r="A28" s="146" t="s">
        <v>574</v>
      </c>
      <c r="B28" s="121" t="s">
        <v>295</v>
      </c>
      <c r="C28" s="105"/>
      <c r="E28" s="96">
        <f>'közhatalmi bevételek'!D20</f>
        <v>17000</v>
      </c>
      <c r="F28" s="95"/>
      <c r="G28" s="96"/>
      <c r="H28" s="370"/>
      <c r="I28" s="154"/>
      <c r="J28" s="154"/>
      <c r="K28" s="151">
        <f t="shared" si="0"/>
        <v>17000</v>
      </c>
      <c r="M28" s="77"/>
      <c r="N28" s="77"/>
      <c r="O28" s="77"/>
      <c r="P28" s="77"/>
      <c r="Q28" s="77"/>
      <c r="R28" s="77"/>
      <c r="S28" s="395"/>
    </row>
    <row r="29" spans="1:19" s="79" customFormat="1" ht="17.25" customHeight="1" x14ac:dyDescent="0.2">
      <c r="A29" s="146" t="s">
        <v>575</v>
      </c>
      <c r="B29" s="121" t="s">
        <v>271</v>
      </c>
      <c r="C29" s="105"/>
      <c r="D29" s="97"/>
      <c r="E29" s="354">
        <f>'közhatalmi bevételek'!D15</f>
        <v>4500</v>
      </c>
      <c r="F29" s="95">
        <f>'közhatalmi bevételek'!E15</f>
        <v>0</v>
      </c>
      <c r="G29" s="105"/>
      <c r="H29" s="370"/>
      <c r="I29" s="154"/>
      <c r="J29" s="154"/>
      <c r="K29" s="151">
        <f t="shared" si="0"/>
        <v>4500</v>
      </c>
      <c r="L29" s="210"/>
      <c r="S29" s="409"/>
    </row>
    <row r="30" spans="1:19" ht="17.25" customHeight="1" x14ac:dyDescent="0.2">
      <c r="A30" s="146" t="s">
        <v>576</v>
      </c>
      <c r="B30" s="121" t="s">
        <v>272</v>
      </c>
      <c r="C30" s="105"/>
      <c r="D30" s="95"/>
      <c r="E30" s="354">
        <f>'közhatalmi bevételek'!D25</f>
        <v>820</v>
      </c>
      <c r="F30" s="95"/>
      <c r="G30" s="96"/>
      <c r="H30" s="370"/>
      <c r="I30" s="154"/>
      <c r="J30" s="154"/>
      <c r="K30" s="151">
        <f t="shared" si="0"/>
        <v>820</v>
      </c>
      <c r="M30" s="77"/>
      <c r="N30" s="77"/>
      <c r="O30" s="77"/>
      <c r="P30" s="77"/>
      <c r="Q30" s="77"/>
      <c r="R30" s="77"/>
      <c r="S30" s="395"/>
    </row>
    <row r="31" spans="1:19" ht="17.25" customHeight="1" x14ac:dyDescent="0.2">
      <c r="A31" s="146" t="s">
        <v>577</v>
      </c>
      <c r="B31" s="121" t="s">
        <v>273</v>
      </c>
      <c r="C31" s="105"/>
      <c r="D31" s="95"/>
      <c r="E31" s="96"/>
      <c r="F31" s="95"/>
      <c r="G31" s="96"/>
      <c r="H31" s="370"/>
      <c r="I31" s="154"/>
      <c r="J31" s="154"/>
      <c r="K31" s="151">
        <f t="shared" si="0"/>
        <v>0</v>
      </c>
      <c r="M31" s="77"/>
      <c r="N31" s="77"/>
      <c r="O31" s="77"/>
      <c r="P31" s="77"/>
      <c r="Q31" s="77"/>
      <c r="R31" s="77"/>
      <c r="S31" s="395"/>
    </row>
    <row r="32" spans="1:19" ht="17.25" customHeight="1" x14ac:dyDescent="0.2">
      <c r="A32" s="146" t="s">
        <v>579</v>
      </c>
      <c r="B32" s="121" t="s">
        <v>274</v>
      </c>
      <c r="C32" s="105">
        <v>140</v>
      </c>
      <c r="D32" s="95">
        <v>46</v>
      </c>
      <c r="E32" s="96"/>
      <c r="F32" s="95"/>
      <c r="G32" s="96"/>
      <c r="H32" s="370"/>
      <c r="I32" s="154"/>
      <c r="J32" s="154"/>
      <c r="K32" s="151">
        <f t="shared" si="0"/>
        <v>186</v>
      </c>
      <c r="M32" s="77"/>
      <c r="N32" s="77"/>
      <c r="O32" s="77"/>
      <c r="P32" s="77"/>
      <c r="Q32" s="77"/>
      <c r="R32" s="77"/>
      <c r="S32" s="395"/>
    </row>
    <row r="33" spans="1:19" ht="17.25" customHeight="1" x14ac:dyDescent="0.2">
      <c r="A33" s="146" t="s">
        <v>580</v>
      </c>
      <c r="B33" s="147" t="s">
        <v>275</v>
      </c>
      <c r="C33" s="155"/>
      <c r="D33" s="150"/>
      <c r="E33" s="149"/>
      <c r="F33" s="150"/>
      <c r="G33" s="355">
        <v>5065</v>
      </c>
      <c r="H33" s="370"/>
      <c r="I33" s="154"/>
      <c r="J33" s="154"/>
      <c r="K33" s="151">
        <f t="shared" si="0"/>
        <v>5065</v>
      </c>
      <c r="M33" s="77"/>
      <c r="N33" s="77"/>
      <c r="O33" s="77"/>
      <c r="P33" s="77"/>
      <c r="Q33" s="77"/>
      <c r="R33" s="77"/>
      <c r="S33" s="395"/>
    </row>
    <row r="34" spans="1:19" ht="17.25" customHeight="1" x14ac:dyDescent="0.2">
      <c r="A34" s="146" t="s">
        <v>600</v>
      </c>
      <c r="B34" s="147" t="s">
        <v>276</v>
      </c>
      <c r="C34" s="155"/>
      <c r="D34" s="150"/>
      <c r="E34" s="149"/>
      <c r="F34" s="150"/>
      <c r="G34" s="355">
        <v>0</v>
      </c>
      <c r="H34" s="370"/>
      <c r="I34" s="154"/>
      <c r="J34" s="154"/>
      <c r="K34" s="151">
        <f t="shared" si="0"/>
        <v>0</v>
      </c>
      <c r="M34" s="77"/>
      <c r="N34" s="77"/>
      <c r="O34" s="77"/>
      <c r="P34" s="77"/>
      <c r="Q34" s="77"/>
      <c r="R34" s="77"/>
      <c r="S34" s="395"/>
    </row>
    <row r="35" spans="1:19" ht="17.25" customHeight="1" x14ac:dyDescent="0.2">
      <c r="A35" s="146" t="s">
        <v>601</v>
      </c>
      <c r="B35" s="147" t="s">
        <v>277</v>
      </c>
      <c r="C35" s="155"/>
      <c r="D35" s="150"/>
      <c r="E35" s="149"/>
      <c r="F35" s="150"/>
      <c r="G35" s="355">
        <v>455</v>
      </c>
      <c r="H35" s="370"/>
      <c r="I35" s="154"/>
      <c r="J35" s="154"/>
      <c r="K35" s="151">
        <f t="shared" si="0"/>
        <v>455</v>
      </c>
      <c r="M35" s="77"/>
      <c r="N35" s="77"/>
      <c r="O35" s="77"/>
      <c r="P35" s="77"/>
      <c r="Q35" s="77"/>
      <c r="R35" s="77"/>
      <c r="S35" s="395"/>
    </row>
    <row r="36" spans="1:19" ht="17.25" customHeight="1" x14ac:dyDescent="0.2">
      <c r="A36" s="146" t="s">
        <v>602</v>
      </c>
      <c r="B36" s="147" t="s">
        <v>584</v>
      </c>
      <c r="C36" s="155"/>
      <c r="D36" s="150"/>
      <c r="E36" s="149"/>
      <c r="F36" s="150"/>
      <c r="G36" s="355">
        <v>500</v>
      </c>
      <c r="H36" s="370"/>
      <c r="I36" s="154"/>
      <c r="J36" s="154"/>
      <c r="K36" s="151">
        <f t="shared" si="0"/>
        <v>500</v>
      </c>
      <c r="M36" s="77"/>
      <c r="N36" s="77"/>
      <c r="O36" s="77"/>
      <c r="P36" s="77"/>
      <c r="Q36" s="77"/>
      <c r="R36" s="77"/>
      <c r="S36" s="395"/>
    </row>
    <row r="37" spans="1:19" ht="17.25" customHeight="1" x14ac:dyDescent="0.2">
      <c r="A37" s="146" t="s">
        <v>603</v>
      </c>
      <c r="B37" s="147" t="s">
        <v>278</v>
      </c>
      <c r="C37" s="155"/>
      <c r="D37" s="150"/>
      <c r="E37" s="149"/>
      <c r="F37" s="150"/>
      <c r="G37" s="355">
        <v>2032</v>
      </c>
      <c r="H37" s="370"/>
      <c r="I37" s="154"/>
      <c r="J37" s="154"/>
      <c r="K37" s="151">
        <f t="shared" si="0"/>
        <v>2032</v>
      </c>
      <c r="M37" s="77"/>
      <c r="N37" s="77"/>
      <c r="O37" s="77"/>
      <c r="P37" s="77"/>
      <c r="Q37" s="77"/>
      <c r="R37" s="77"/>
      <c r="S37" s="395"/>
    </row>
    <row r="38" spans="1:19" ht="17.25" customHeight="1" x14ac:dyDescent="0.2">
      <c r="A38" s="146" t="s">
        <v>604</v>
      </c>
      <c r="B38" s="147" t="s">
        <v>279</v>
      </c>
      <c r="C38" s="155"/>
      <c r="D38" s="357">
        <v>2286</v>
      </c>
      <c r="E38" s="155"/>
      <c r="F38" s="150"/>
      <c r="G38" s="356"/>
      <c r="H38" s="334"/>
      <c r="K38" s="151">
        <f t="shared" si="0"/>
        <v>2286</v>
      </c>
      <c r="M38" s="77"/>
      <c r="N38" s="77"/>
      <c r="O38" s="77"/>
      <c r="P38" s="77"/>
      <c r="Q38" s="77"/>
      <c r="R38" s="77"/>
      <c r="S38" s="395"/>
    </row>
    <row r="39" spans="1:19" ht="17.25" customHeight="1" thickBot="1" x14ac:dyDescent="0.25">
      <c r="A39" s="146" t="s">
        <v>605</v>
      </c>
      <c r="B39" s="147" t="s">
        <v>280</v>
      </c>
      <c r="C39" s="155"/>
      <c r="D39" s="150"/>
      <c r="E39" s="149"/>
      <c r="F39" s="150"/>
      <c r="G39" s="149"/>
      <c r="H39" s="370"/>
      <c r="I39" s="154"/>
      <c r="J39" s="154"/>
      <c r="K39" s="151">
        <f t="shared" si="0"/>
        <v>0</v>
      </c>
      <c r="M39" s="77"/>
      <c r="N39" s="77"/>
      <c r="O39" s="77"/>
      <c r="P39" s="77"/>
      <c r="Q39" s="77"/>
      <c r="R39" s="77"/>
      <c r="S39" s="395"/>
    </row>
    <row r="40" spans="1:19" ht="17.25" customHeight="1" thickBot="1" x14ac:dyDescent="0.25">
      <c r="A40" s="1559" t="s">
        <v>609</v>
      </c>
      <c r="B40" s="1560"/>
      <c r="C40" s="251">
        <f>SUM(C10:C39)</f>
        <v>40369</v>
      </c>
      <c r="D40" s="251">
        <f>SUM(D10:D39)</f>
        <v>43113</v>
      </c>
      <c r="E40" s="383">
        <f>SUM(E10:E39)</f>
        <v>456306</v>
      </c>
      <c r="F40" s="384">
        <f>SUM(F10:F39)</f>
        <v>779014</v>
      </c>
      <c r="G40" s="251">
        <f>SUM(G10:G39)</f>
        <v>764984</v>
      </c>
      <c r="H40" s="372">
        <f>SUM(H12:H39)</f>
        <v>93769</v>
      </c>
      <c r="I40" s="372">
        <f>SUM(I12:I39)</f>
        <v>0</v>
      </c>
      <c r="J40" s="372">
        <f>SUM(J12:J39)</f>
        <v>0</v>
      </c>
      <c r="K40" s="252">
        <f>SUM(C40:J40)</f>
        <v>2177555</v>
      </c>
      <c r="M40" s="77"/>
      <c r="N40" s="77"/>
      <c r="O40" s="77"/>
      <c r="P40" s="77"/>
      <c r="Q40" s="77"/>
      <c r="R40" s="77"/>
      <c r="S40" s="395"/>
    </row>
    <row r="41" spans="1:19" ht="17.25" customHeight="1" x14ac:dyDescent="0.2">
      <c r="M41" s="77"/>
      <c r="N41" s="77"/>
      <c r="O41" s="77"/>
      <c r="P41" s="77"/>
      <c r="Q41" s="77"/>
      <c r="R41" s="77"/>
      <c r="S41" s="395"/>
    </row>
    <row r="42" spans="1:19" ht="17.25" customHeight="1" x14ac:dyDescent="0.2">
      <c r="M42" s="77"/>
      <c r="N42" s="77"/>
      <c r="O42" s="77"/>
      <c r="P42" s="77"/>
      <c r="Q42" s="77"/>
      <c r="R42" s="77"/>
      <c r="S42" s="395"/>
    </row>
    <row r="43" spans="1:19" ht="17.25" customHeight="1" x14ac:dyDescent="0.2">
      <c r="M43" s="77"/>
      <c r="N43" s="77"/>
      <c r="O43" s="77"/>
      <c r="P43" s="77"/>
      <c r="Q43" s="77"/>
      <c r="R43" s="77"/>
      <c r="S43" s="395"/>
    </row>
    <row r="44" spans="1:19" ht="17.25" customHeight="1" x14ac:dyDescent="0.2">
      <c r="M44" s="77"/>
      <c r="N44" s="77"/>
      <c r="O44" s="77"/>
      <c r="P44" s="77"/>
      <c r="Q44" s="77"/>
      <c r="R44" s="77"/>
      <c r="S44" s="395"/>
    </row>
    <row r="45" spans="1:19" ht="17.25" customHeight="1" x14ac:dyDescent="0.2">
      <c r="M45" s="77"/>
      <c r="N45" s="77"/>
      <c r="O45" s="77"/>
      <c r="P45" s="77"/>
      <c r="Q45" s="77"/>
      <c r="R45" s="77"/>
      <c r="S45" s="395"/>
    </row>
    <row r="46" spans="1:19" ht="17.25" customHeight="1" x14ac:dyDescent="0.2">
      <c r="M46" s="77"/>
      <c r="N46" s="77"/>
      <c r="O46" s="77"/>
      <c r="P46" s="77"/>
      <c r="Q46" s="77"/>
      <c r="R46" s="77"/>
      <c r="S46" s="395"/>
    </row>
    <row r="47" spans="1:19" ht="17.25" customHeight="1" x14ac:dyDescent="0.2">
      <c r="M47" s="77"/>
      <c r="N47" s="77"/>
      <c r="O47" s="77"/>
      <c r="P47" s="77"/>
      <c r="Q47" s="77"/>
      <c r="R47" s="77"/>
      <c r="S47" s="395"/>
    </row>
    <row r="48" spans="1:19" ht="17.25" customHeight="1" x14ac:dyDescent="0.2">
      <c r="M48" s="77"/>
      <c r="N48" s="77"/>
      <c r="O48" s="77"/>
      <c r="P48" s="77"/>
      <c r="Q48" s="77"/>
      <c r="R48" s="77"/>
      <c r="S48" s="395"/>
    </row>
    <row r="49" spans="2:24" ht="17.25" customHeight="1" x14ac:dyDescent="0.2">
      <c r="M49" s="77"/>
      <c r="N49" s="77"/>
      <c r="O49" s="77"/>
      <c r="P49" s="77"/>
      <c r="Q49" s="77"/>
      <c r="R49" s="77"/>
      <c r="S49" s="395"/>
    </row>
    <row r="50" spans="2:24" ht="17.25" customHeight="1" x14ac:dyDescent="0.2">
      <c r="M50" s="77"/>
      <c r="N50" s="77"/>
      <c r="O50" s="77"/>
      <c r="P50" s="77"/>
      <c r="Q50" s="77"/>
      <c r="R50" s="77"/>
      <c r="S50" s="395"/>
    </row>
    <row r="51" spans="2:24" ht="17.25" customHeight="1" x14ac:dyDescent="0.2">
      <c r="M51" s="77"/>
      <c r="N51" s="77"/>
      <c r="O51" s="77"/>
      <c r="P51" s="77"/>
      <c r="Q51" s="77"/>
      <c r="R51" s="77"/>
      <c r="S51" s="395"/>
    </row>
    <row r="52" spans="2:24" ht="17.25" customHeight="1" x14ac:dyDescent="0.2">
      <c r="M52" s="77"/>
      <c r="N52" s="77"/>
      <c r="O52" s="77"/>
      <c r="P52" s="77"/>
      <c r="Q52" s="77"/>
      <c r="R52" s="77"/>
      <c r="S52" s="395"/>
    </row>
    <row r="53" spans="2:24" ht="17.25" customHeight="1" x14ac:dyDescent="0.2">
      <c r="M53" s="77"/>
      <c r="N53" s="77"/>
      <c r="O53" s="77"/>
      <c r="P53" s="77"/>
      <c r="Q53" s="77"/>
      <c r="R53" s="77"/>
      <c r="S53" s="395"/>
    </row>
    <row r="54" spans="2:24" ht="17.25" customHeight="1" x14ac:dyDescent="0.2">
      <c r="M54" s="77"/>
      <c r="N54" s="77"/>
      <c r="O54" s="77"/>
      <c r="P54" s="77"/>
      <c r="Q54" s="77"/>
      <c r="R54" s="77"/>
      <c r="S54" s="395"/>
    </row>
    <row r="55" spans="2:24" ht="17.25" customHeight="1" x14ac:dyDescent="0.2">
      <c r="M55" s="77"/>
      <c r="N55" s="77"/>
      <c r="O55" s="77"/>
      <c r="P55" s="77"/>
      <c r="Q55" s="77"/>
      <c r="R55" s="77"/>
      <c r="S55" s="395"/>
    </row>
    <row r="56" spans="2:24" ht="17.25" customHeight="1" x14ac:dyDescent="0.2">
      <c r="M56" s="77"/>
      <c r="N56" s="77"/>
      <c r="O56" s="77"/>
      <c r="P56" s="77"/>
      <c r="Q56" s="77"/>
      <c r="R56" s="77"/>
      <c r="S56" s="395"/>
    </row>
    <row r="57" spans="2:24" ht="17.25" customHeight="1" x14ac:dyDescent="0.2">
      <c r="M57" s="77"/>
      <c r="N57" s="77"/>
      <c r="O57" s="77"/>
      <c r="P57" s="77"/>
      <c r="Q57" s="77"/>
      <c r="R57" s="77"/>
      <c r="S57" s="395"/>
    </row>
    <row r="58" spans="2:24" ht="17.25" customHeight="1" x14ac:dyDescent="0.2">
      <c r="M58" s="77"/>
      <c r="N58" s="77"/>
      <c r="O58" s="77"/>
      <c r="P58" s="77"/>
      <c r="Q58" s="77"/>
      <c r="R58" s="77"/>
      <c r="S58" s="395"/>
    </row>
    <row r="64" spans="2:24" ht="17.25" customHeight="1" x14ac:dyDescent="0.2">
      <c r="B64" s="1537" t="s">
        <v>585</v>
      </c>
      <c r="C64" s="1453"/>
      <c r="D64" s="1453"/>
      <c r="E64" s="1453"/>
      <c r="F64" s="1453"/>
      <c r="G64" s="1453"/>
      <c r="H64" s="1453"/>
      <c r="I64" s="1453"/>
      <c r="J64" s="1453"/>
      <c r="K64" s="1453"/>
      <c r="L64" s="1453"/>
      <c r="M64" s="1453"/>
      <c r="N64" s="1453"/>
      <c r="O64" s="1453"/>
      <c r="P64" s="1453"/>
      <c r="Q64" s="1453"/>
      <c r="R64" s="1453"/>
      <c r="W64" s="78"/>
      <c r="X64" s="78"/>
    </row>
    <row r="65" spans="1:23" ht="17.25" customHeight="1" x14ac:dyDescent="0.2">
      <c r="D65" s="92"/>
      <c r="E65" s="92"/>
      <c r="F65" s="92"/>
      <c r="G65" s="92"/>
      <c r="H65" s="92"/>
      <c r="I65" s="92"/>
      <c r="J65" s="92"/>
      <c r="K65" s="92"/>
      <c r="W65" s="78"/>
    </row>
    <row r="66" spans="1:23" ht="17.25" customHeight="1" x14ac:dyDescent="0.2">
      <c r="A66" s="1387" t="s">
        <v>561</v>
      </c>
      <c r="B66" s="1453"/>
      <c r="C66" s="1453"/>
      <c r="D66" s="1453"/>
      <c r="E66" s="1453"/>
      <c r="F66" s="1453"/>
      <c r="G66" s="1453"/>
      <c r="H66" s="1453"/>
      <c r="I66" s="1453"/>
      <c r="J66" s="1453"/>
      <c r="K66" s="1453"/>
      <c r="L66" s="1453"/>
      <c r="M66" s="1453"/>
      <c r="N66" s="1453"/>
      <c r="O66" s="1453"/>
      <c r="P66" s="1453"/>
      <c r="Q66" s="1453"/>
      <c r="R66" s="1453"/>
    </row>
    <row r="67" spans="1:23" ht="17.25" customHeight="1" x14ac:dyDescent="0.2">
      <c r="A67" s="1387" t="s">
        <v>308</v>
      </c>
      <c r="B67" s="1453"/>
      <c r="C67" s="1453"/>
      <c r="D67" s="1453"/>
      <c r="E67" s="1453"/>
      <c r="F67" s="1453"/>
      <c r="G67" s="1453"/>
      <c r="H67" s="1453"/>
      <c r="I67" s="1453"/>
      <c r="J67" s="1453"/>
      <c r="K67" s="1453"/>
      <c r="L67" s="1453"/>
      <c r="M67" s="1453"/>
      <c r="N67" s="1453"/>
      <c r="O67" s="1453"/>
      <c r="P67" s="1453"/>
      <c r="Q67" s="1453"/>
      <c r="R67" s="1453"/>
    </row>
    <row r="68" spans="1:23" ht="17.25" customHeight="1" x14ac:dyDescent="0.2">
      <c r="B68" s="141"/>
      <c r="C68" s="142"/>
      <c r="D68" s="142"/>
      <c r="E68" s="142"/>
      <c r="F68" s="142"/>
      <c r="G68" s="142"/>
      <c r="H68" s="142"/>
      <c r="I68" s="142"/>
      <c r="J68" s="142"/>
      <c r="K68" s="142"/>
    </row>
    <row r="69" spans="1:23" ht="12.75" customHeight="1" thickBot="1" x14ac:dyDescent="0.25">
      <c r="A69" s="1557" t="s">
        <v>320</v>
      </c>
      <c r="B69" s="1558"/>
      <c r="C69" s="1558"/>
      <c r="D69" s="1558"/>
      <c r="E69" s="1558"/>
      <c r="F69" s="1558"/>
      <c r="G69" s="1558"/>
      <c r="H69" s="1558"/>
      <c r="I69" s="1558"/>
      <c r="J69" s="1558"/>
      <c r="K69" s="1558"/>
      <c r="L69" s="1487"/>
      <c r="M69" s="1487"/>
      <c r="N69" s="1487"/>
      <c r="O69" s="1487"/>
      <c r="P69" s="1487"/>
      <c r="Q69" s="1487"/>
      <c r="R69" s="1487"/>
    </row>
    <row r="70" spans="1:23" s="93" customFormat="1" ht="11.25" customHeight="1" x14ac:dyDescent="0.2">
      <c r="A70" s="1567" t="s">
        <v>497</v>
      </c>
      <c r="B70" s="1561" t="s">
        <v>86</v>
      </c>
      <c r="C70" s="1551" t="s">
        <v>57</v>
      </c>
      <c r="D70" s="1556"/>
      <c r="E70" s="1556" t="s">
        <v>58</v>
      </c>
      <c r="F70" s="1556"/>
      <c r="G70" s="1556" t="s">
        <v>59</v>
      </c>
      <c r="H70" s="1556"/>
      <c r="I70" s="1550"/>
      <c r="J70" s="1551"/>
      <c r="K70" s="221" t="s">
        <v>60</v>
      </c>
      <c r="L70" s="1549" t="s">
        <v>498</v>
      </c>
      <c r="M70" s="1540"/>
      <c r="N70" s="1540" t="s">
        <v>499</v>
      </c>
      <c r="O70" s="1540"/>
      <c r="P70" s="1540" t="s">
        <v>500</v>
      </c>
      <c r="Q70" s="1540"/>
      <c r="R70" s="217" t="s">
        <v>628</v>
      </c>
      <c r="S70" s="406"/>
    </row>
    <row r="71" spans="1:23" ht="31.5" customHeight="1" x14ac:dyDescent="0.2">
      <c r="A71" s="1568"/>
      <c r="B71" s="1562"/>
      <c r="C71" s="1552" t="s">
        <v>586</v>
      </c>
      <c r="D71" s="1545"/>
      <c r="E71" s="1545"/>
      <c r="F71" s="1545"/>
      <c r="G71" s="1545"/>
      <c r="H71" s="1545"/>
      <c r="I71" s="1545"/>
      <c r="J71" s="1545"/>
      <c r="K71" s="1555"/>
      <c r="L71" s="1552" t="s">
        <v>544</v>
      </c>
      <c r="M71" s="1553"/>
      <c r="N71" s="1553"/>
      <c r="O71" s="1553"/>
      <c r="P71" s="1553"/>
      <c r="Q71" s="1553"/>
      <c r="R71" s="1554"/>
    </row>
    <row r="72" spans="1:23" ht="36" customHeight="1" thickBot="1" x14ac:dyDescent="0.25">
      <c r="A72" s="1568"/>
      <c r="B72" s="1562"/>
      <c r="C72" s="1564" t="s">
        <v>477</v>
      </c>
      <c r="D72" s="1532"/>
      <c r="E72" s="1532" t="s">
        <v>478</v>
      </c>
      <c r="F72" s="1532"/>
      <c r="G72" s="1532" t="s">
        <v>22</v>
      </c>
      <c r="H72" s="1532"/>
      <c r="I72" s="1533"/>
      <c r="J72" s="1534"/>
      <c r="K72" s="1570" t="s">
        <v>563</v>
      </c>
      <c r="L72" s="1564" t="s">
        <v>477</v>
      </c>
      <c r="M72" s="1532"/>
      <c r="N72" s="1532" t="s">
        <v>478</v>
      </c>
      <c r="O72" s="1532"/>
      <c r="P72" s="1532" t="s">
        <v>22</v>
      </c>
      <c r="Q72" s="1532"/>
      <c r="R72" s="1565" t="s">
        <v>563</v>
      </c>
    </row>
    <row r="73" spans="1:23" ht="35.25" customHeight="1" thickBot="1" x14ac:dyDescent="0.25">
      <c r="A73" s="1568"/>
      <c r="B73" s="1562"/>
      <c r="C73" s="1564"/>
      <c r="D73" s="1532"/>
      <c r="E73" s="1532"/>
      <c r="F73" s="1532"/>
      <c r="G73" s="1532"/>
      <c r="H73" s="1532"/>
      <c r="I73" s="1535"/>
      <c r="J73" s="1536"/>
      <c r="K73" s="1570"/>
      <c r="L73" s="1564"/>
      <c r="M73" s="1532"/>
      <c r="N73" s="1532"/>
      <c r="O73" s="1532"/>
      <c r="P73" s="1532"/>
      <c r="Q73" s="1532"/>
      <c r="R73" s="1565"/>
    </row>
    <row r="74" spans="1:23" ht="32.25" customHeight="1" thickBot="1" x14ac:dyDescent="0.25">
      <c r="A74" s="1569"/>
      <c r="B74" s="1563"/>
      <c r="C74" s="360" t="s">
        <v>62</v>
      </c>
      <c r="D74" s="223" t="s">
        <v>63</v>
      </c>
      <c r="E74" s="222" t="s">
        <v>62</v>
      </c>
      <c r="F74" s="222" t="s">
        <v>63</v>
      </c>
      <c r="G74" s="222" t="s">
        <v>62</v>
      </c>
      <c r="H74" s="222" t="s">
        <v>63</v>
      </c>
      <c r="I74" s="222" t="s">
        <v>62</v>
      </c>
      <c r="J74" s="222" t="s">
        <v>63</v>
      </c>
      <c r="K74" s="1571"/>
      <c r="L74" s="225" t="s">
        <v>62</v>
      </c>
      <c r="M74" s="226" t="s">
        <v>63</v>
      </c>
      <c r="N74" s="220" t="s">
        <v>62</v>
      </c>
      <c r="O74" s="220" t="s">
        <v>63</v>
      </c>
      <c r="P74" s="220" t="s">
        <v>62</v>
      </c>
      <c r="Q74" s="220" t="s">
        <v>63</v>
      </c>
      <c r="R74" s="1566"/>
    </row>
    <row r="75" spans="1:23" ht="17.25" customHeight="1" x14ac:dyDescent="0.2">
      <c r="A75" s="156">
        <v>1</v>
      </c>
      <c r="B75" s="402" t="s">
        <v>589</v>
      </c>
      <c r="C75" s="163">
        <v>10</v>
      </c>
      <c r="D75" s="163">
        <v>0</v>
      </c>
      <c r="E75" s="163"/>
      <c r="F75" s="163"/>
      <c r="G75" s="163"/>
      <c r="H75" s="163"/>
      <c r="I75" s="163"/>
      <c r="J75" s="163"/>
      <c r="K75" s="359">
        <f>SUM(C75:H75)</f>
        <v>10</v>
      </c>
      <c r="L75" s="227">
        <v>20</v>
      </c>
      <c r="M75" s="227">
        <v>188</v>
      </c>
      <c r="N75" s="227"/>
      <c r="O75" s="227"/>
      <c r="P75" s="227"/>
      <c r="Q75" s="227"/>
      <c r="R75" s="228">
        <f>SUM(L75:Q75)</f>
        <v>208</v>
      </c>
    </row>
    <row r="76" spans="1:23" ht="17.25" customHeight="1" x14ac:dyDescent="0.2">
      <c r="A76" s="156">
        <v>2</v>
      </c>
      <c r="B76" s="403" t="s">
        <v>588</v>
      </c>
      <c r="C76" s="163"/>
      <c r="D76" s="163">
        <v>284</v>
      </c>
      <c r="E76" s="163"/>
      <c r="F76" s="163"/>
      <c r="G76" s="163"/>
      <c r="H76" s="163"/>
      <c r="I76" s="163"/>
      <c r="J76" s="163"/>
      <c r="K76" s="379">
        <f>SUM(C76:H76)</f>
        <v>284</v>
      </c>
      <c r="L76" s="163"/>
      <c r="M76" s="163"/>
      <c r="N76" s="163"/>
      <c r="O76" s="163"/>
      <c r="P76" s="163"/>
      <c r="Q76" s="163"/>
      <c r="R76" s="373"/>
    </row>
    <row r="77" spans="1:23" ht="17.25" customHeight="1" x14ac:dyDescent="0.2">
      <c r="A77" s="156">
        <v>3</v>
      </c>
      <c r="B77" s="403" t="s">
        <v>587</v>
      </c>
      <c r="C77" s="163">
        <v>3</v>
      </c>
      <c r="D77" s="163">
        <v>78</v>
      </c>
      <c r="E77" s="163"/>
      <c r="F77" s="163"/>
      <c r="G77" s="163"/>
      <c r="H77" s="163"/>
      <c r="I77" s="163"/>
      <c r="J77" s="163"/>
      <c r="K77" s="379">
        <f>SUM(C77:H77)</f>
        <v>81</v>
      </c>
      <c r="L77" s="163"/>
      <c r="M77" s="163"/>
      <c r="N77" s="163"/>
      <c r="O77" s="163"/>
      <c r="P77" s="163"/>
      <c r="Q77" s="163"/>
      <c r="R77" s="373"/>
    </row>
    <row r="78" spans="1:23" ht="17.25" customHeight="1" x14ac:dyDescent="0.2">
      <c r="A78" s="146">
        <v>4</v>
      </c>
      <c r="B78" s="403" t="s">
        <v>590</v>
      </c>
      <c r="C78" s="401">
        <v>2</v>
      </c>
      <c r="D78" s="224"/>
      <c r="E78" s="224"/>
      <c r="F78" s="224"/>
      <c r="G78" s="224"/>
      <c r="H78" s="224"/>
      <c r="I78" s="224"/>
      <c r="J78" s="224"/>
      <c r="K78" s="379">
        <f>SUM(C78:H78)</f>
        <v>2</v>
      </c>
      <c r="L78" s="229"/>
      <c r="M78" s="229"/>
      <c r="N78" s="229"/>
      <c r="O78" s="229"/>
      <c r="P78" s="229"/>
      <c r="Q78" s="229"/>
      <c r="R78" s="230"/>
    </row>
    <row r="79" spans="1:23" ht="17.25" customHeight="1" thickBot="1" x14ac:dyDescent="0.25">
      <c r="A79" s="380">
        <v>5</v>
      </c>
      <c r="B79" s="404" t="s">
        <v>591</v>
      </c>
      <c r="C79" s="401"/>
      <c r="D79" s="224">
        <v>40</v>
      </c>
      <c r="E79" s="224"/>
      <c r="F79" s="224"/>
      <c r="G79" s="224"/>
      <c r="H79" s="224"/>
      <c r="I79" s="224"/>
      <c r="J79" s="224"/>
      <c r="K79" s="405">
        <f>SUM(C79:J79)</f>
        <v>40</v>
      </c>
      <c r="L79" s="229"/>
      <c r="M79" s="229"/>
      <c r="N79" s="229"/>
      <c r="O79" s="229"/>
      <c r="P79" s="229"/>
      <c r="Q79" s="229"/>
      <c r="R79" s="230"/>
    </row>
    <row r="80" spans="1:23" ht="17.25" customHeight="1" thickBot="1" x14ac:dyDescent="0.25">
      <c r="A80" s="367" t="s">
        <v>281</v>
      </c>
      <c r="B80" s="374"/>
      <c r="C80" s="375">
        <f>SUM(C74:C78)</f>
        <v>15</v>
      </c>
      <c r="D80" s="375">
        <f>SUM(D74:D79)</f>
        <v>402</v>
      </c>
      <c r="E80" s="376">
        <f>SUM(E74)</f>
        <v>0</v>
      </c>
      <c r="F80" s="376">
        <f>SUM(F74)</f>
        <v>0</v>
      </c>
      <c r="G80" s="376">
        <f>SUM(G74)</f>
        <v>0</v>
      </c>
      <c r="H80" s="376">
        <f>SUM(H74:H78)</f>
        <v>0</v>
      </c>
      <c r="I80" s="377"/>
      <c r="J80" s="377"/>
      <c r="K80" s="378">
        <f>SUM(K74:K79)</f>
        <v>417</v>
      </c>
      <c r="L80" s="358">
        <f>SUM(L75:L78)</f>
        <v>20</v>
      </c>
      <c r="M80" s="218">
        <f>SUM(M75:M78)</f>
        <v>188</v>
      </c>
      <c r="N80" s="218"/>
      <c r="O80" s="218"/>
      <c r="P80" s="218"/>
      <c r="Q80" s="218"/>
      <c r="R80" s="231">
        <f>SUM(L80:Q80)</f>
        <v>208</v>
      </c>
      <c r="S80" s="407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P76"/>
  <sheetViews>
    <sheetView topLeftCell="N49" zoomScale="130" zoomScaleNormal="130" workbookViewId="0">
      <selection activeCell="M69" sqref="M69"/>
    </sheetView>
  </sheetViews>
  <sheetFormatPr defaultColWidth="9.140625" defaultRowHeight="10.5" x14ac:dyDescent="0.2"/>
  <cols>
    <col min="1" max="1" width="4.140625" style="77" customWidth="1"/>
    <col min="2" max="2" width="4.85546875" style="244" customWidth="1"/>
    <col min="3" max="3" width="26.7109375" style="248" customWidth="1"/>
    <col min="4" max="6" width="5.85546875" style="249" customWidth="1"/>
    <col min="7" max="9" width="6.7109375" style="250" customWidth="1"/>
    <col min="10" max="12" width="5.85546875" style="250" customWidth="1"/>
    <col min="13" max="15" width="6.42578125" style="250" customWidth="1"/>
    <col min="16" max="18" width="5.28515625" style="250" customWidth="1"/>
    <col min="19" max="21" width="6.42578125" style="250" customWidth="1"/>
    <col min="22" max="24" width="5.7109375" style="250" customWidth="1"/>
    <col min="25" max="27" width="5.5703125" style="250" customWidth="1"/>
    <col min="28" max="30" width="6" style="250" customWidth="1"/>
    <col min="31" max="35" width="5.85546875" style="250" customWidth="1"/>
    <col min="36" max="36" width="4.7109375" style="250" customWidth="1"/>
    <col min="37" max="37" width="5" style="250" customWidth="1"/>
    <col min="38" max="38" width="6.5703125" style="250" bestFit="1" customWidth="1"/>
    <col min="39" max="39" width="8.5703125" style="243" customWidth="1"/>
    <col min="40" max="42" width="9.140625" style="243"/>
    <col min="43" max="16384" width="9.140625" style="77"/>
  </cols>
  <sheetData>
    <row r="1" spans="1:42" ht="12.75" x14ac:dyDescent="0.2">
      <c r="B1" s="1537" t="s">
        <v>1267</v>
      </c>
      <c r="C1" s="1577"/>
      <c r="D1" s="1577"/>
      <c r="E1" s="1577"/>
      <c r="F1" s="1577"/>
      <c r="G1" s="1577"/>
      <c r="H1" s="1577"/>
      <c r="I1" s="1577"/>
      <c r="J1" s="1577"/>
      <c r="K1" s="1577"/>
      <c r="L1" s="1577"/>
      <c r="M1" s="1577"/>
      <c r="N1" s="1577"/>
      <c r="O1" s="1577"/>
      <c r="P1" s="1577"/>
      <c r="Q1" s="1577"/>
      <c r="R1" s="1577"/>
      <c r="S1" s="1577"/>
      <c r="T1" s="1577"/>
      <c r="U1" s="1577"/>
      <c r="V1" s="1577"/>
      <c r="W1" s="1577"/>
      <c r="X1" s="1577"/>
      <c r="Y1" s="1577"/>
      <c r="Z1" s="1577"/>
      <c r="AA1" s="1577"/>
      <c r="AB1" s="1577"/>
      <c r="AC1" s="1577"/>
      <c r="AD1" s="1577"/>
      <c r="AE1" s="1577"/>
      <c r="AF1" s="1577"/>
      <c r="AG1" s="1577"/>
      <c r="AH1" s="1577"/>
      <c r="AI1" s="1577"/>
      <c r="AJ1" s="1577"/>
      <c r="AK1" s="1577"/>
      <c r="AL1" s="1577"/>
    </row>
    <row r="2" spans="1:42" ht="12.75" x14ac:dyDescent="0.2">
      <c r="B2" s="1578" t="s">
        <v>78</v>
      </c>
      <c r="C2" s="1579"/>
      <c r="D2" s="1579"/>
      <c r="E2" s="1579"/>
      <c r="F2" s="1579"/>
      <c r="G2" s="1579"/>
      <c r="H2" s="1579"/>
      <c r="I2" s="1579"/>
      <c r="J2" s="1579"/>
      <c r="K2" s="1579"/>
      <c r="L2" s="1579"/>
      <c r="M2" s="1579"/>
      <c r="N2" s="1579"/>
      <c r="O2" s="1579"/>
      <c r="P2" s="1579"/>
      <c r="Q2" s="1579"/>
      <c r="R2" s="1579"/>
      <c r="S2" s="1579"/>
      <c r="T2" s="1579"/>
      <c r="U2" s="1579"/>
      <c r="V2" s="1579"/>
      <c r="W2" s="1579"/>
      <c r="X2" s="1579"/>
      <c r="Y2" s="1579"/>
      <c r="Z2" s="1579"/>
      <c r="AA2" s="1579"/>
      <c r="AB2" s="1579"/>
      <c r="AC2" s="1579"/>
      <c r="AD2" s="1579"/>
      <c r="AE2" s="1579"/>
      <c r="AF2" s="1579"/>
      <c r="AG2" s="1579"/>
      <c r="AH2" s="1579"/>
      <c r="AI2" s="1579"/>
      <c r="AJ2" s="1579"/>
      <c r="AK2" s="1579"/>
      <c r="AL2" s="1579"/>
    </row>
    <row r="3" spans="1:42" ht="12.75" x14ac:dyDescent="0.2">
      <c r="A3" s="78"/>
      <c r="B3" s="1387" t="s">
        <v>1124</v>
      </c>
      <c r="C3" s="1577"/>
      <c r="D3" s="1577"/>
      <c r="E3" s="1577"/>
      <c r="F3" s="1577"/>
      <c r="G3" s="1577"/>
      <c r="H3" s="1577"/>
      <c r="I3" s="1577"/>
      <c r="J3" s="1577"/>
      <c r="K3" s="1577"/>
      <c r="L3" s="1577"/>
      <c r="M3" s="1577"/>
      <c r="N3" s="1577"/>
      <c r="O3" s="1577"/>
      <c r="P3" s="1577"/>
      <c r="Q3" s="1577"/>
      <c r="R3" s="1577"/>
      <c r="S3" s="1577"/>
      <c r="T3" s="1577"/>
      <c r="U3" s="1577"/>
      <c r="V3" s="1577"/>
      <c r="W3" s="1577"/>
      <c r="X3" s="1577"/>
      <c r="Y3" s="1577"/>
      <c r="Z3" s="1577"/>
      <c r="AA3" s="1577"/>
      <c r="AB3" s="1577"/>
      <c r="AC3" s="1577"/>
      <c r="AD3" s="1577"/>
      <c r="AE3" s="1577"/>
      <c r="AF3" s="1577"/>
      <c r="AG3" s="1577"/>
      <c r="AH3" s="1577"/>
      <c r="AI3" s="1577"/>
      <c r="AJ3" s="1577"/>
      <c r="AK3" s="1577"/>
      <c r="AL3" s="1577"/>
    </row>
    <row r="4" spans="1:42" x14ac:dyDescent="0.2">
      <c r="A4" s="78"/>
      <c r="C4" s="1586" t="s">
        <v>320</v>
      </c>
      <c r="D4" s="1587"/>
      <c r="E4" s="1587"/>
      <c r="F4" s="1587"/>
      <c r="G4" s="1587"/>
      <c r="H4" s="1587"/>
      <c r="I4" s="1587"/>
      <c r="J4" s="1587"/>
      <c r="K4" s="1587"/>
      <c r="L4" s="1587"/>
      <c r="M4" s="1587"/>
      <c r="N4" s="1587"/>
      <c r="O4" s="1587"/>
      <c r="P4" s="1587"/>
      <c r="Q4" s="1587"/>
      <c r="R4" s="1587"/>
      <c r="S4" s="1587"/>
      <c r="T4" s="1587"/>
      <c r="U4" s="1587"/>
      <c r="V4" s="1587"/>
      <c r="W4" s="1587"/>
      <c r="X4" s="1587"/>
      <c r="Y4" s="1587"/>
      <c r="Z4" s="1587"/>
      <c r="AA4" s="1587"/>
      <c r="AB4" s="1587"/>
      <c r="AC4" s="1587"/>
      <c r="AD4" s="1587"/>
      <c r="AE4" s="1587"/>
      <c r="AF4" s="1587"/>
      <c r="AG4" s="1587"/>
      <c r="AH4" s="1587"/>
      <c r="AI4" s="1587"/>
      <c r="AJ4" s="1587"/>
      <c r="AK4" s="1587"/>
      <c r="AL4" s="1587"/>
    </row>
    <row r="5" spans="1:42" x14ac:dyDescent="0.2">
      <c r="A5" s="587"/>
      <c r="B5" s="1580" t="s">
        <v>497</v>
      </c>
      <c r="C5" s="1178" t="s">
        <v>57</v>
      </c>
      <c r="D5" s="1609" t="s">
        <v>58</v>
      </c>
      <c r="E5" s="1609"/>
      <c r="F5" s="1609"/>
      <c r="G5" s="1609"/>
      <c r="H5" s="1609"/>
      <c r="I5" s="1609"/>
      <c r="J5" s="1609" t="s">
        <v>59</v>
      </c>
      <c r="K5" s="1609"/>
      <c r="L5" s="1609"/>
      <c r="M5" s="1609"/>
      <c r="N5" s="1609"/>
      <c r="O5" s="1609"/>
      <c r="P5" s="1609" t="s">
        <v>627</v>
      </c>
      <c r="Q5" s="1609"/>
      <c r="R5" s="1609"/>
      <c r="S5" s="1609"/>
      <c r="T5" s="1609"/>
      <c r="U5" s="1609"/>
      <c r="V5" s="1609" t="s">
        <v>498</v>
      </c>
      <c r="W5" s="1609"/>
      <c r="X5" s="1609"/>
      <c r="Y5" s="1609"/>
      <c r="Z5" s="1609"/>
      <c r="AA5" s="1609"/>
      <c r="AB5" s="1575" t="s">
        <v>499</v>
      </c>
      <c r="AC5" s="1575"/>
      <c r="AD5" s="1575"/>
      <c r="AE5" s="1575"/>
      <c r="AF5" s="1575"/>
      <c r="AG5" s="1575"/>
      <c r="AH5" s="1575" t="s">
        <v>500</v>
      </c>
      <c r="AI5" s="1576"/>
      <c r="AJ5" s="1575" t="s">
        <v>628</v>
      </c>
      <c r="AK5" s="1576"/>
      <c r="AL5" s="1572" t="s">
        <v>639</v>
      </c>
      <c r="AM5" s="1573"/>
      <c r="AN5" s="1574"/>
    </row>
    <row r="6" spans="1:42" ht="12.75" customHeight="1" x14ac:dyDescent="0.2">
      <c r="A6" s="587"/>
      <c r="B6" s="1581"/>
      <c r="C6" s="1179"/>
      <c r="D6" s="1575" t="s">
        <v>1117</v>
      </c>
      <c r="E6" s="1575"/>
      <c r="F6" s="1575"/>
      <c r="G6" s="1575"/>
      <c r="H6" s="1575"/>
      <c r="I6" s="1575"/>
      <c r="J6" s="1575"/>
      <c r="K6" s="1575"/>
      <c r="L6" s="1575"/>
      <c r="M6" s="1575"/>
      <c r="N6" s="1575"/>
      <c r="O6" s="1575"/>
      <c r="P6" s="1575"/>
      <c r="Q6" s="1575"/>
      <c r="R6" s="1575"/>
      <c r="S6" s="1575"/>
      <c r="T6" s="1575"/>
      <c r="U6" s="1575"/>
      <c r="V6" s="1575"/>
      <c r="W6" s="1575"/>
      <c r="X6" s="1575"/>
      <c r="Y6" s="1575"/>
      <c r="Z6" s="1575"/>
      <c r="AA6" s="1575"/>
      <c r="AB6" s="1575"/>
      <c r="AC6" s="1575"/>
      <c r="AD6" s="1575"/>
      <c r="AE6" s="1575"/>
      <c r="AF6" s="1575"/>
      <c r="AG6" s="1575"/>
      <c r="AH6" s="1575"/>
      <c r="AI6" s="1575"/>
      <c r="AJ6" s="1575"/>
      <c r="AK6" s="1575"/>
      <c r="AL6" s="1575"/>
      <c r="AM6" s="1575"/>
      <c r="AN6" s="1575"/>
    </row>
    <row r="7" spans="1:42" ht="24.95" customHeight="1" x14ac:dyDescent="0.2">
      <c r="A7" s="587"/>
      <c r="B7" s="1581"/>
      <c r="C7" s="1602" t="s">
        <v>86</v>
      </c>
      <c r="D7" s="1607" t="s">
        <v>476</v>
      </c>
      <c r="E7" s="1596"/>
      <c r="F7" s="1596"/>
      <c r="G7" s="1596"/>
      <c r="H7" s="1596"/>
      <c r="I7" s="1597"/>
      <c r="J7" s="1596" t="s">
        <v>21</v>
      </c>
      <c r="K7" s="1596"/>
      <c r="L7" s="1596"/>
      <c r="M7" s="1596"/>
      <c r="N7" s="1596"/>
      <c r="O7" s="1597"/>
      <c r="P7" s="1596" t="s">
        <v>474</v>
      </c>
      <c r="Q7" s="1596"/>
      <c r="R7" s="1596"/>
      <c r="S7" s="1596"/>
      <c r="T7" s="1596"/>
      <c r="U7" s="1597"/>
      <c r="V7" s="1592" t="s">
        <v>486</v>
      </c>
      <c r="W7" s="1592"/>
      <c r="X7" s="1592"/>
      <c r="Y7" s="1592"/>
      <c r="Z7" s="1592"/>
      <c r="AA7" s="1593"/>
      <c r="AB7" s="1596" t="s">
        <v>485</v>
      </c>
      <c r="AC7" s="1596"/>
      <c r="AD7" s="1596"/>
      <c r="AE7" s="1596"/>
      <c r="AF7" s="1596"/>
      <c r="AG7" s="1597"/>
      <c r="AH7" s="1582" t="s">
        <v>282</v>
      </c>
      <c r="AI7" s="1583"/>
      <c r="AJ7" s="1588" t="s">
        <v>475</v>
      </c>
      <c r="AK7" s="1589"/>
      <c r="AL7" s="1598" t="s">
        <v>563</v>
      </c>
      <c r="AM7" s="1599"/>
      <c r="AN7" s="1599"/>
    </row>
    <row r="8" spans="1:42" ht="26.25" customHeight="1" x14ac:dyDescent="0.2">
      <c r="A8" s="587"/>
      <c r="B8" s="1581"/>
      <c r="C8" s="1603"/>
      <c r="D8" s="1608"/>
      <c r="E8" s="1592"/>
      <c r="F8" s="1592"/>
      <c r="G8" s="1592"/>
      <c r="H8" s="1592"/>
      <c r="I8" s="1593"/>
      <c r="J8" s="1592"/>
      <c r="K8" s="1592"/>
      <c r="L8" s="1592"/>
      <c r="M8" s="1592"/>
      <c r="N8" s="1592"/>
      <c r="O8" s="1593"/>
      <c r="P8" s="1592"/>
      <c r="Q8" s="1592"/>
      <c r="R8" s="1592"/>
      <c r="S8" s="1592"/>
      <c r="T8" s="1592"/>
      <c r="U8" s="1593"/>
      <c r="V8" s="1594"/>
      <c r="W8" s="1594"/>
      <c r="X8" s="1594"/>
      <c r="Y8" s="1594"/>
      <c r="Z8" s="1594"/>
      <c r="AA8" s="1595"/>
      <c r="AB8" s="1592"/>
      <c r="AC8" s="1592"/>
      <c r="AD8" s="1592"/>
      <c r="AE8" s="1592"/>
      <c r="AF8" s="1592"/>
      <c r="AG8" s="1593"/>
      <c r="AH8" s="1584"/>
      <c r="AI8" s="1585"/>
      <c r="AJ8" s="1590"/>
      <c r="AK8" s="1591"/>
      <c r="AL8" s="1600"/>
      <c r="AM8" s="1601"/>
      <c r="AN8" s="1601"/>
    </row>
    <row r="9" spans="1:42" s="186" customFormat="1" ht="40.9" customHeight="1" x14ac:dyDescent="0.15">
      <c r="A9" s="588"/>
      <c r="B9" s="1581"/>
      <c r="C9" s="1604"/>
      <c r="D9" s="1183" t="s">
        <v>62</v>
      </c>
      <c r="E9" s="762" t="s">
        <v>1277</v>
      </c>
      <c r="F9" s="1247" t="s">
        <v>1284</v>
      </c>
      <c r="G9" s="1246" t="s">
        <v>63</v>
      </c>
      <c r="H9" s="762" t="s">
        <v>1277</v>
      </c>
      <c r="I9" s="1218" t="s">
        <v>1285</v>
      </c>
      <c r="J9" s="1184" t="s">
        <v>62</v>
      </c>
      <c r="K9" s="762" t="s">
        <v>1277</v>
      </c>
      <c r="L9" s="1247" t="s">
        <v>1284</v>
      </c>
      <c r="M9" s="1183" t="s">
        <v>63</v>
      </c>
      <c r="N9" s="762" t="s">
        <v>1277</v>
      </c>
      <c r="O9" s="1218" t="s">
        <v>1285</v>
      </c>
      <c r="P9" s="1184" t="s">
        <v>62</v>
      </c>
      <c r="Q9" s="762" t="s">
        <v>1277</v>
      </c>
      <c r="R9" s="1247" t="s">
        <v>1284</v>
      </c>
      <c r="S9" s="1183" t="s">
        <v>63</v>
      </c>
      <c r="T9" s="762" t="s">
        <v>1277</v>
      </c>
      <c r="U9" s="1218" t="s">
        <v>1285</v>
      </c>
      <c r="V9" s="1184" t="s">
        <v>62</v>
      </c>
      <c r="W9" s="762" t="s">
        <v>1277</v>
      </c>
      <c r="X9" s="1261" t="s">
        <v>1284</v>
      </c>
      <c r="Y9" s="1184" t="s">
        <v>63</v>
      </c>
      <c r="Z9" s="762" t="s">
        <v>1277</v>
      </c>
      <c r="AA9" s="1218" t="s">
        <v>1285</v>
      </c>
      <c r="AB9" s="1184" t="s">
        <v>62</v>
      </c>
      <c r="AC9" s="762" t="s">
        <v>1277</v>
      </c>
      <c r="AD9" s="1247" t="s">
        <v>1284</v>
      </c>
      <c r="AE9" s="1183" t="s">
        <v>63</v>
      </c>
      <c r="AF9" s="762" t="s">
        <v>1277</v>
      </c>
      <c r="AG9" s="1218" t="s">
        <v>1285</v>
      </c>
      <c r="AH9" s="1184" t="s">
        <v>62</v>
      </c>
      <c r="AI9" s="1230" t="s">
        <v>63</v>
      </c>
      <c r="AJ9" s="1184" t="s">
        <v>62</v>
      </c>
      <c r="AK9" s="1230" t="s">
        <v>63</v>
      </c>
      <c r="AL9" s="1231" t="s">
        <v>1286</v>
      </c>
      <c r="AM9" s="1185" t="s">
        <v>1287</v>
      </c>
      <c r="AN9" s="1185" t="s">
        <v>1288</v>
      </c>
      <c r="AO9" s="245"/>
      <c r="AP9" s="245"/>
    </row>
    <row r="10" spans="1:42" s="186" customFormat="1" ht="15" customHeight="1" x14ac:dyDescent="0.2">
      <c r="A10" s="1180"/>
      <c r="B10" s="1186">
        <v>1</v>
      </c>
      <c r="C10" s="1187" t="s">
        <v>1038</v>
      </c>
      <c r="D10" s="1188">
        <v>4645</v>
      </c>
      <c r="E10" s="1188"/>
      <c r="F10" s="1248"/>
      <c r="G10" s="1210"/>
      <c r="H10" s="1188"/>
      <c r="I10" s="1219"/>
      <c r="J10" s="1210">
        <v>1104</v>
      </c>
      <c r="K10" s="1188"/>
      <c r="L10" s="1248"/>
      <c r="M10" s="1210"/>
      <c r="N10" s="1188"/>
      <c r="O10" s="1219"/>
      <c r="P10" s="1226">
        <f>4168+6900</f>
        <v>11068</v>
      </c>
      <c r="Q10" s="1189"/>
      <c r="R10" s="1259"/>
      <c r="S10" s="1210"/>
      <c r="T10" s="1188"/>
      <c r="U10" s="1219"/>
      <c r="V10" s="1210"/>
      <c r="W10" s="1188"/>
      <c r="X10" s="1248"/>
      <c r="Y10" s="1210"/>
      <c r="Z10" s="1188"/>
      <c r="AA10" s="1219"/>
      <c r="AB10" s="1210"/>
      <c r="AC10" s="1188"/>
      <c r="AD10" s="1248"/>
      <c r="AE10" s="1210"/>
      <c r="AF10" s="1188"/>
      <c r="AG10" s="1219"/>
      <c r="AH10" s="1210"/>
      <c r="AI10" s="1219"/>
      <c r="AJ10" s="1210"/>
      <c r="AK10" s="1219"/>
      <c r="AL10" s="1232">
        <f t="shared" ref="AL10:AL34" si="0">SUM(D10:AK10)</f>
        <v>16817</v>
      </c>
      <c r="AM10" s="1190"/>
      <c r="AN10" s="1191"/>
      <c r="AO10" s="245"/>
      <c r="AP10" s="245"/>
    </row>
    <row r="11" spans="1:42" s="186" customFormat="1" ht="23.25" customHeight="1" x14ac:dyDescent="0.2">
      <c r="A11" s="1180"/>
      <c r="B11" s="1186">
        <f>B10+1</f>
        <v>2</v>
      </c>
      <c r="C11" s="1187" t="s">
        <v>1037</v>
      </c>
      <c r="D11" s="1188">
        <v>4098</v>
      </c>
      <c r="E11" s="1188"/>
      <c r="F11" s="1248"/>
      <c r="G11" s="1210"/>
      <c r="H11" s="1188"/>
      <c r="I11" s="1219"/>
      <c r="J11" s="1210">
        <v>902</v>
      </c>
      <c r="K11" s="1188"/>
      <c r="L11" s="1248"/>
      <c r="M11" s="1210"/>
      <c r="N11" s="1188"/>
      <c r="O11" s="1219"/>
      <c r="P11" s="1226">
        <v>15640</v>
      </c>
      <c r="Q11" s="1189"/>
      <c r="R11" s="1259"/>
      <c r="S11" s="1210"/>
      <c r="T11" s="1188"/>
      <c r="U11" s="1219"/>
      <c r="V11" s="1210"/>
      <c r="W11" s="1188"/>
      <c r="X11" s="1248"/>
      <c r="Y11" s="1210"/>
      <c r="Z11" s="1188"/>
      <c r="AA11" s="1219"/>
      <c r="AB11" s="1210"/>
      <c r="AC11" s="1188"/>
      <c r="AD11" s="1248"/>
      <c r="AE11" s="1210"/>
      <c r="AF11" s="1188"/>
      <c r="AG11" s="1219"/>
      <c r="AH11" s="1210"/>
      <c r="AI11" s="1219"/>
      <c r="AJ11" s="1210"/>
      <c r="AK11" s="1219"/>
      <c r="AL11" s="1232">
        <f t="shared" si="0"/>
        <v>20640</v>
      </c>
      <c r="AM11" s="1190"/>
      <c r="AN11" s="1191"/>
      <c r="AO11" s="245"/>
      <c r="AP11" s="245"/>
    </row>
    <row r="12" spans="1:42" s="242" customFormat="1" ht="13.5" customHeight="1" x14ac:dyDescent="0.2">
      <c r="A12" s="1181"/>
      <c r="B12" s="1186">
        <f t="shared" ref="B12:B62" si="1">B11+1</f>
        <v>3</v>
      </c>
      <c r="C12" s="1192" t="s">
        <v>1055</v>
      </c>
      <c r="D12" s="1193"/>
      <c r="E12" s="1193"/>
      <c r="F12" s="1249"/>
      <c r="G12" s="1211"/>
      <c r="H12" s="1194"/>
      <c r="I12" s="1220"/>
      <c r="J12" s="1211"/>
      <c r="K12" s="1194"/>
      <c r="L12" s="1258"/>
      <c r="M12" s="1211"/>
      <c r="N12" s="1194"/>
      <c r="O12" s="1220"/>
      <c r="P12" s="1216"/>
      <c r="Q12" s="1195"/>
      <c r="R12" s="1254"/>
      <c r="S12" s="1215">
        <v>5000</v>
      </c>
      <c r="T12" s="1196"/>
      <c r="U12" s="1224"/>
      <c r="V12" s="1216"/>
      <c r="W12" s="1195"/>
      <c r="X12" s="1254"/>
      <c r="Y12" s="1211"/>
      <c r="Z12" s="1194"/>
      <c r="AA12" s="1220"/>
      <c r="AB12" s="1211"/>
      <c r="AC12" s="1194"/>
      <c r="AD12" s="1258"/>
      <c r="AE12" s="1211"/>
      <c r="AF12" s="1194"/>
      <c r="AG12" s="1220"/>
      <c r="AH12" s="1211"/>
      <c r="AI12" s="1220"/>
      <c r="AJ12" s="1211"/>
      <c r="AK12" s="1220"/>
      <c r="AL12" s="1232">
        <f t="shared" si="0"/>
        <v>5000</v>
      </c>
      <c r="AM12" s="711"/>
      <c r="AN12" s="1197"/>
      <c r="AO12" s="243"/>
      <c r="AP12" s="243"/>
    </row>
    <row r="13" spans="1:42" s="242" customFormat="1" ht="17.25" customHeight="1" x14ac:dyDescent="0.2">
      <c r="A13" s="1181"/>
      <c r="B13" s="1186">
        <f t="shared" si="1"/>
        <v>4</v>
      </c>
      <c r="C13" s="1187" t="s">
        <v>1036</v>
      </c>
      <c r="D13" s="1193"/>
      <c r="E13" s="1193"/>
      <c r="F13" s="1249"/>
      <c r="G13" s="1211"/>
      <c r="H13" s="1194"/>
      <c r="I13" s="1220"/>
      <c r="J13" s="1211"/>
      <c r="K13" s="1194"/>
      <c r="L13" s="1258"/>
      <c r="M13" s="1211"/>
      <c r="N13" s="1194"/>
      <c r="O13" s="1220"/>
      <c r="P13" s="1216">
        <v>1969</v>
      </c>
      <c r="Q13" s="1195"/>
      <c r="R13" s="1254"/>
      <c r="S13" s="1212"/>
      <c r="T13" s="712"/>
      <c r="U13" s="1221"/>
      <c r="V13" s="1216"/>
      <c r="W13" s="1195"/>
      <c r="X13" s="1254"/>
      <c r="Y13" s="1211"/>
      <c r="Z13" s="1194"/>
      <c r="AA13" s="1220"/>
      <c r="AB13" s="1211"/>
      <c r="AC13" s="1194"/>
      <c r="AD13" s="1258"/>
      <c r="AE13" s="1211"/>
      <c r="AF13" s="1194"/>
      <c r="AG13" s="1220"/>
      <c r="AH13" s="1211"/>
      <c r="AI13" s="1220"/>
      <c r="AJ13" s="1211"/>
      <c r="AK13" s="1220"/>
      <c r="AL13" s="1232">
        <f t="shared" si="0"/>
        <v>1969</v>
      </c>
      <c r="AM13" s="1190"/>
      <c r="AN13" s="1191"/>
      <c r="AO13" s="243"/>
      <c r="AP13" s="243"/>
    </row>
    <row r="14" spans="1:42" s="242" customFormat="1" ht="16.5" customHeight="1" x14ac:dyDescent="0.2">
      <c r="A14" s="1181"/>
      <c r="B14" s="1186">
        <f t="shared" si="1"/>
        <v>5</v>
      </c>
      <c r="C14" s="1187" t="s">
        <v>1249</v>
      </c>
      <c r="D14" s="1193"/>
      <c r="E14" s="1193"/>
      <c r="F14" s="1249"/>
      <c r="G14" s="1211"/>
      <c r="H14" s="1194"/>
      <c r="I14" s="1220"/>
      <c r="J14" s="1211"/>
      <c r="K14" s="1194"/>
      <c r="L14" s="1258"/>
      <c r="M14" s="1211"/>
      <c r="N14" s="1194"/>
      <c r="O14" s="1220"/>
      <c r="P14" s="1216"/>
      <c r="Q14" s="1195"/>
      <c r="R14" s="1254"/>
      <c r="S14" s="1215"/>
      <c r="T14" s="1196"/>
      <c r="U14" s="1224"/>
      <c r="V14" s="1216"/>
      <c r="W14" s="1195"/>
      <c r="X14" s="1254"/>
      <c r="Y14" s="1211"/>
      <c r="Z14" s="1194"/>
      <c r="AA14" s="1220"/>
      <c r="AB14" s="1211"/>
      <c r="AC14" s="1194"/>
      <c r="AD14" s="1258"/>
      <c r="AE14" s="1211"/>
      <c r="AF14" s="1194"/>
      <c r="AG14" s="1220"/>
      <c r="AH14" s="1211"/>
      <c r="AI14" s="1220"/>
      <c r="AJ14" s="1211"/>
      <c r="AK14" s="1233">
        <f>'ellátottak önk.'!F13</f>
        <v>850</v>
      </c>
      <c r="AL14" s="1232">
        <f t="shared" si="0"/>
        <v>850</v>
      </c>
      <c r="AM14" s="1197"/>
      <c r="AN14" s="1197"/>
      <c r="AO14" s="243"/>
      <c r="AP14" s="243"/>
    </row>
    <row r="15" spans="1:42" s="242" customFormat="1" ht="16.5" customHeight="1" x14ac:dyDescent="0.2">
      <c r="A15" s="1181"/>
      <c r="B15" s="1186">
        <f t="shared" si="1"/>
        <v>6</v>
      </c>
      <c r="C15" s="1187" t="s">
        <v>1248</v>
      </c>
      <c r="D15" s="1193"/>
      <c r="E15" s="1193"/>
      <c r="F15" s="1249"/>
      <c r="G15" s="1211"/>
      <c r="H15" s="1194"/>
      <c r="I15" s="1220"/>
      <c r="J15" s="1211"/>
      <c r="K15" s="1194"/>
      <c r="L15" s="1258"/>
      <c r="M15" s="1211"/>
      <c r="N15" s="1194"/>
      <c r="O15" s="1220"/>
      <c r="P15" s="1216"/>
      <c r="Q15" s="1195"/>
      <c r="R15" s="1254"/>
      <c r="S15" s="1215"/>
      <c r="T15" s="1196"/>
      <c r="U15" s="1224"/>
      <c r="V15" s="1216"/>
      <c r="W15" s="1195"/>
      <c r="X15" s="1254"/>
      <c r="Y15" s="1211"/>
      <c r="Z15" s="1194"/>
      <c r="AA15" s="1220"/>
      <c r="AB15" s="1211"/>
      <c r="AC15" s="1194"/>
      <c r="AD15" s="1258"/>
      <c r="AE15" s="1211"/>
      <c r="AF15" s="1194"/>
      <c r="AG15" s="1220"/>
      <c r="AH15" s="1211"/>
      <c r="AI15" s="1220"/>
      <c r="AJ15" s="1211"/>
      <c r="AK15" s="1233">
        <v>600</v>
      </c>
      <c r="AL15" s="1232">
        <f t="shared" si="0"/>
        <v>600</v>
      </c>
      <c r="AM15" s="1197"/>
      <c r="AN15" s="1197"/>
      <c r="AO15" s="243"/>
      <c r="AP15" s="243"/>
    </row>
    <row r="16" spans="1:42" s="242" customFormat="1" ht="16.5" customHeight="1" x14ac:dyDescent="0.2">
      <c r="A16" s="1181"/>
      <c r="B16" s="1186">
        <f t="shared" si="1"/>
        <v>7</v>
      </c>
      <c r="C16" s="1187" t="s">
        <v>1250</v>
      </c>
      <c r="D16" s="1193"/>
      <c r="E16" s="1193"/>
      <c r="F16" s="1249"/>
      <c r="G16" s="1211"/>
      <c r="H16" s="1194"/>
      <c r="I16" s="1220"/>
      <c r="J16" s="1211"/>
      <c r="K16" s="1194"/>
      <c r="L16" s="1258"/>
      <c r="M16" s="1211"/>
      <c r="N16" s="1194"/>
      <c r="O16" s="1220"/>
      <c r="P16" s="1216"/>
      <c r="Q16" s="1195"/>
      <c r="R16" s="1254"/>
      <c r="S16" s="1215"/>
      <c r="T16" s="1196"/>
      <c r="U16" s="1224"/>
      <c r="V16" s="1216"/>
      <c r="W16" s="1195"/>
      <c r="X16" s="1254"/>
      <c r="Y16" s="1211"/>
      <c r="Z16" s="1194"/>
      <c r="AA16" s="1220"/>
      <c r="AB16" s="1211"/>
      <c r="AC16" s="1194"/>
      <c r="AD16" s="1258"/>
      <c r="AE16" s="1211"/>
      <c r="AF16" s="1194"/>
      <c r="AG16" s="1220"/>
      <c r="AH16" s="1211"/>
      <c r="AI16" s="1220"/>
      <c r="AJ16" s="1211"/>
      <c r="AK16" s="1233">
        <v>800</v>
      </c>
      <c r="AL16" s="1232">
        <f t="shared" si="0"/>
        <v>800</v>
      </c>
      <c r="AM16" s="1197"/>
      <c r="AN16" s="1197"/>
      <c r="AO16" s="243"/>
      <c r="AP16" s="243"/>
    </row>
    <row r="17" spans="1:42" s="242" customFormat="1" ht="15.75" customHeight="1" x14ac:dyDescent="0.2">
      <c r="A17" s="1181"/>
      <c r="B17" s="1186">
        <f t="shared" si="1"/>
        <v>8</v>
      </c>
      <c r="C17" s="1187" t="s">
        <v>1251</v>
      </c>
      <c r="D17" s="1193"/>
      <c r="E17" s="1193"/>
      <c r="F17" s="1249"/>
      <c r="G17" s="1211"/>
      <c r="H17" s="1194"/>
      <c r="I17" s="1220"/>
      <c r="J17" s="1211"/>
      <c r="K17" s="1194"/>
      <c r="L17" s="1258"/>
      <c r="M17" s="1211"/>
      <c r="N17" s="1194"/>
      <c r="O17" s="1220"/>
      <c r="P17" s="1216"/>
      <c r="Q17" s="1195"/>
      <c r="R17" s="1254"/>
      <c r="S17" s="1215"/>
      <c r="T17" s="1196"/>
      <c r="U17" s="1224"/>
      <c r="V17" s="1216"/>
      <c r="W17" s="1195"/>
      <c r="X17" s="1254"/>
      <c r="Y17" s="1211"/>
      <c r="Z17" s="1194"/>
      <c r="AA17" s="1220"/>
      <c r="AB17" s="1211"/>
      <c r="AC17" s="1194"/>
      <c r="AD17" s="1258"/>
      <c r="AE17" s="1211"/>
      <c r="AF17" s="1194"/>
      <c r="AG17" s="1220"/>
      <c r="AH17" s="1211"/>
      <c r="AI17" s="1220"/>
      <c r="AJ17" s="1211"/>
      <c r="AK17" s="1233">
        <v>1000</v>
      </c>
      <c r="AL17" s="1232">
        <f t="shared" si="0"/>
        <v>1000</v>
      </c>
      <c r="AM17" s="1197"/>
      <c r="AN17" s="1197"/>
      <c r="AO17" s="243"/>
      <c r="AP17" s="243"/>
    </row>
    <row r="18" spans="1:42" s="242" customFormat="1" ht="13.5" customHeight="1" x14ac:dyDescent="0.2">
      <c r="A18" s="1181"/>
      <c r="B18" s="1186">
        <f t="shared" si="1"/>
        <v>9</v>
      </c>
      <c r="C18" s="1187" t="s">
        <v>1252</v>
      </c>
      <c r="D18" s="1193"/>
      <c r="E18" s="1193"/>
      <c r="F18" s="1249"/>
      <c r="G18" s="1211"/>
      <c r="H18" s="1194"/>
      <c r="I18" s="1220"/>
      <c r="J18" s="1211"/>
      <c r="K18" s="1194"/>
      <c r="L18" s="1258"/>
      <c r="M18" s="1211"/>
      <c r="N18" s="1194"/>
      <c r="O18" s="1220"/>
      <c r="P18" s="1216"/>
      <c r="Q18" s="1195"/>
      <c r="R18" s="1254"/>
      <c r="S18" s="1215"/>
      <c r="T18" s="1196"/>
      <c r="U18" s="1224"/>
      <c r="V18" s="1216"/>
      <c r="W18" s="1195"/>
      <c r="X18" s="1254"/>
      <c r="Y18" s="1211"/>
      <c r="Z18" s="1194"/>
      <c r="AA18" s="1220"/>
      <c r="AB18" s="1211"/>
      <c r="AC18" s="1194"/>
      <c r="AD18" s="1258"/>
      <c r="AE18" s="1211"/>
      <c r="AF18" s="1194"/>
      <c r="AG18" s="1220"/>
      <c r="AH18" s="1211"/>
      <c r="AI18" s="1220"/>
      <c r="AJ18" s="1211"/>
      <c r="AK18" s="1233">
        <v>600</v>
      </c>
      <c r="AL18" s="1232">
        <f t="shared" si="0"/>
        <v>600</v>
      </c>
      <c r="AM18" s="1197"/>
      <c r="AN18" s="1197"/>
      <c r="AO18" s="243"/>
      <c r="AP18" s="243"/>
    </row>
    <row r="19" spans="1:42" s="242" customFormat="1" ht="13.5" customHeight="1" x14ac:dyDescent="0.2">
      <c r="A19" s="1181"/>
      <c r="B19" s="1186">
        <f t="shared" si="1"/>
        <v>10</v>
      </c>
      <c r="C19" s="1187" t="s">
        <v>1253</v>
      </c>
      <c r="D19" s="1193"/>
      <c r="E19" s="1193"/>
      <c r="F19" s="1249"/>
      <c r="G19" s="1211"/>
      <c r="H19" s="1194"/>
      <c r="I19" s="1220"/>
      <c r="J19" s="1211"/>
      <c r="K19" s="1194"/>
      <c r="L19" s="1258"/>
      <c r="M19" s="1211"/>
      <c r="N19" s="1194"/>
      <c r="O19" s="1220"/>
      <c r="P19" s="1216"/>
      <c r="Q19" s="1195"/>
      <c r="R19" s="1254"/>
      <c r="S19" s="1215"/>
      <c r="T19" s="1196"/>
      <c r="U19" s="1224"/>
      <c r="V19" s="1216"/>
      <c r="W19" s="1195"/>
      <c r="X19" s="1254"/>
      <c r="Y19" s="1211"/>
      <c r="Z19" s="1194"/>
      <c r="AA19" s="1220"/>
      <c r="AB19" s="1211"/>
      <c r="AC19" s="1194"/>
      <c r="AD19" s="1258"/>
      <c r="AE19" s="1211"/>
      <c r="AF19" s="1194"/>
      <c r="AG19" s="1220"/>
      <c r="AH19" s="1211"/>
      <c r="AI19" s="1220"/>
      <c r="AJ19" s="1229">
        <v>2300</v>
      </c>
      <c r="AK19" s="1233"/>
      <c r="AL19" s="1232">
        <f t="shared" si="0"/>
        <v>2300</v>
      </c>
      <c r="AM19" s="1197"/>
      <c r="AN19" s="1197"/>
      <c r="AO19" s="243"/>
      <c r="AP19" s="243"/>
    </row>
    <row r="20" spans="1:42" s="242" customFormat="1" ht="12" customHeight="1" x14ac:dyDescent="0.2">
      <c r="A20" s="1181"/>
      <c r="B20" s="1186">
        <f t="shared" si="1"/>
        <v>11</v>
      </c>
      <c r="C20" s="1187" t="s">
        <v>1041</v>
      </c>
      <c r="D20" s="1193"/>
      <c r="E20" s="1193"/>
      <c r="F20" s="1249"/>
      <c r="G20" s="1211"/>
      <c r="H20" s="1194"/>
      <c r="I20" s="1220"/>
      <c r="J20" s="1211"/>
      <c r="K20" s="1194"/>
      <c r="L20" s="1258"/>
      <c r="M20" s="1211"/>
      <c r="N20" s="1194"/>
      <c r="O20" s="1220"/>
      <c r="P20" s="1216"/>
      <c r="Q20" s="1195"/>
      <c r="R20" s="1254"/>
      <c r="S20" s="1215"/>
      <c r="T20" s="1196"/>
      <c r="U20" s="1224"/>
      <c r="V20" s="1216"/>
      <c r="W20" s="1195"/>
      <c r="X20" s="1254"/>
      <c r="Y20" s="1211"/>
      <c r="Z20" s="1194"/>
      <c r="AA20" s="1220"/>
      <c r="AB20" s="1211"/>
      <c r="AC20" s="1194"/>
      <c r="AD20" s="1258"/>
      <c r="AE20" s="1211"/>
      <c r="AF20" s="1194"/>
      <c r="AG20" s="1220"/>
      <c r="AH20" s="1211"/>
      <c r="AI20" s="1220"/>
      <c r="AJ20" s="1211"/>
      <c r="AK20" s="1233">
        <f>'ellátottak önk.'!F22</f>
        <v>1100</v>
      </c>
      <c r="AL20" s="1232">
        <f t="shared" si="0"/>
        <v>1100</v>
      </c>
      <c r="AM20" s="1197"/>
      <c r="AN20" s="1197"/>
      <c r="AO20" s="243"/>
      <c r="AP20" s="243"/>
    </row>
    <row r="21" spans="1:42" s="242" customFormat="1" ht="15" customHeight="1" x14ac:dyDescent="0.2">
      <c r="A21" s="1181"/>
      <c r="B21" s="1186">
        <f t="shared" si="1"/>
        <v>12</v>
      </c>
      <c r="C21" s="1187" t="s">
        <v>1042</v>
      </c>
      <c r="D21" s="1193"/>
      <c r="E21" s="1193"/>
      <c r="F21" s="1249"/>
      <c r="G21" s="1211"/>
      <c r="H21" s="1194"/>
      <c r="I21" s="1220"/>
      <c r="J21" s="1211"/>
      <c r="K21" s="1194"/>
      <c r="L21" s="1258"/>
      <c r="M21" s="1211"/>
      <c r="N21" s="1194"/>
      <c r="O21" s="1220"/>
      <c r="P21" s="1216"/>
      <c r="Q21" s="1195"/>
      <c r="R21" s="1254"/>
      <c r="S21" s="1215"/>
      <c r="T21" s="1196"/>
      <c r="U21" s="1224"/>
      <c r="V21" s="1216"/>
      <c r="W21" s="1195"/>
      <c r="X21" s="1254"/>
      <c r="Y21" s="1211"/>
      <c r="Z21" s="1194"/>
      <c r="AA21" s="1220"/>
      <c r="AB21" s="1211"/>
      <c r="AC21" s="1194"/>
      <c r="AD21" s="1258"/>
      <c r="AE21" s="1211"/>
      <c r="AF21" s="1194"/>
      <c r="AG21" s="1220"/>
      <c r="AH21" s="1211"/>
      <c r="AI21" s="1220"/>
      <c r="AJ21" s="1211"/>
      <c r="AK21" s="1233">
        <f>'ellátottak önk.'!F21</f>
        <v>1800</v>
      </c>
      <c r="AL21" s="1232">
        <f t="shared" si="0"/>
        <v>1800</v>
      </c>
      <c r="AM21" s="1197"/>
      <c r="AN21" s="1197"/>
      <c r="AO21" s="243"/>
      <c r="AP21" s="243"/>
    </row>
    <row r="22" spans="1:42" s="242" customFormat="1" ht="13.5" customHeight="1" x14ac:dyDescent="0.2">
      <c r="A22" s="1181"/>
      <c r="B22" s="1186">
        <f t="shared" si="1"/>
        <v>13</v>
      </c>
      <c r="C22" s="1187" t="s">
        <v>1254</v>
      </c>
      <c r="D22" s="1193"/>
      <c r="E22" s="1193"/>
      <c r="F22" s="1249"/>
      <c r="G22" s="1211"/>
      <c r="H22" s="1194"/>
      <c r="I22" s="1220"/>
      <c r="J22" s="1211"/>
      <c r="K22" s="1194"/>
      <c r="L22" s="1258"/>
      <c r="M22" s="1211"/>
      <c r="N22" s="1194"/>
      <c r="O22" s="1220"/>
      <c r="P22" s="1216"/>
      <c r="Q22" s="1195"/>
      <c r="R22" s="1254"/>
      <c r="S22" s="1215"/>
      <c r="T22" s="1196"/>
      <c r="U22" s="1224"/>
      <c r="V22" s="1216"/>
      <c r="W22" s="1195"/>
      <c r="X22" s="1254"/>
      <c r="Y22" s="1211"/>
      <c r="Z22" s="1194"/>
      <c r="AA22" s="1220"/>
      <c r="AB22" s="1211"/>
      <c r="AC22" s="1194"/>
      <c r="AD22" s="1258"/>
      <c r="AE22" s="1211"/>
      <c r="AF22" s="1194"/>
      <c r="AG22" s="1220"/>
      <c r="AH22" s="1211"/>
      <c r="AI22" s="1220"/>
      <c r="AJ22" s="1229">
        <v>500</v>
      </c>
      <c r="AK22" s="1233">
        <f>'ellátottak önk.'!F20</f>
        <v>0</v>
      </c>
      <c r="AL22" s="1232">
        <f t="shared" si="0"/>
        <v>500</v>
      </c>
      <c r="AM22" s="1197"/>
      <c r="AN22" s="1197"/>
      <c r="AO22" s="243"/>
      <c r="AP22" s="243"/>
    </row>
    <row r="23" spans="1:42" s="242" customFormat="1" ht="13.5" customHeight="1" x14ac:dyDescent="0.2">
      <c r="A23" s="1181"/>
      <c r="B23" s="1186">
        <f t="shared" si="1"/>
        <v>14</v>
      </c>
      <c r="C23" s="1187" t="s">
        <v>1060</v>
      </c>
      <c r="D23" s="1193"/>
      <c r="E23" s="1193"/>
      <c r="F23" s="1249"/>
      <c r="G23" s="1211"/>
      <c r="H23" s="1194"/>
      <c r="I23" s="1220"/>
      <c r="J23" s="1211"/>
      <c r="K23" s="1194"/>
      <c r="L23" s="1258"/>
      <c r="M23" s="1211"/>
      <c r="N23" s="1194"/>
      <c r="O23" s="1220"/>
      <c r="P23" s="1216"/>
      <c r="Q23" s="1195"/>
      <c r="R23" s="1254"/>
      <c r="S23" s="1215"/>
      <c r="T23" s="1196"/>
      <c r="U23" s="1224"/>
      <c r="V23" s="1216"/>
      <c r="W23" s="1195"/>
      <c r="X23" s="1254"/>
      <c r="Y23" s="1211"/>
      <c r="Z23" s="1194"/>
      <c r="AA23" s="1220"/>
      <c r="AB23" s="1211"/>
      <c r="AC23" s="1194"/>
      <c r="AD23" s="1258"/>
      <c r="AE23" s="1211"/>
      <c r="AF23" s="1194"/>
      <c r="AG23" s="1220"/>
      <c r="AH23" s="1211"/>
      <c r="AI23" s="1220"/>
      <c r="AJ23" s="1211"/>
      <c r="AK23" s="1233">
        <f>'ellátottak önk.'!F30</f>
        <v>4200</v>
      </c>
      <c r="AL23" s="1232">
        <f t="shared" si="0"/>
        <v>4200</v>
      </c>
      <c r="AM23" s="1197"/>
      <c r="AN23" s="1197"/>
      <c r="AO23" s="243"/>
      <c r="AP23" s="243"/>
    </row>
    <row r="24" spans="1:42" s="242" customFormat="1" ht="12.75" customHeight="1" x14ac:dyDescent="0.2">
      <c r="A24" s="1181"/>
      <c r="B24" s="1186">
        <f t="shared" si="1"/>
        <v>15</v>
      </c>
      <c r="C24" s="1187" t="s">
        <v>594</v>
      </c>
      <c r="D24" s="1193"/>
      <c r="E24" s="1193"/>
      <c r="F24" s="1249"/>
      <c r="G24" s="1211"/>
      <c r="H24" s="1194"/>
      <c r="I24" s="1220"/>
      <c r="J24" s="1211"/>
      <c r="K24" s="1194"/>
      <c r="L24" s="1258"/>
      <c r="M24" s="1211"/>
      <c r="N24" s="1194"/>
      <c r="O24" s="1220"/>
      <c r="P24" s="1216"/>
      <c r="Q24" s="1195"/>
      <c r="R24" s="1254"/>
      <c r="S24" s="1215">
        <v>400</v>
      </c>
      <c r="T24" s="1196"/>
      <c r="U24" s="1224"/>
      <c r="V24" s="1216"/>
      <c r="W24" s="1195"/>
      <c r="X24" s="1254"/>
      <c r="Y24" s="1211"/>
      <c r="Z24" s="1194"/>
      <c r="AA24" s="1220"/>
      <c r="AB24" s="1211"/>
      <c r="AC24" s="1194"/>
      <c r="AD24" s="1258"/>
      <c r="AE24" s="1211"/>
      <c r="AF24" s="1194"/>
      <c r="AG24" s="1220"/>
      <c r="AH24" s="1211"/>
      <c r="AI24" s="1220"/>
      <c r="AJ24" s="1229">
        <f>'ellátottak önk.'!E26</f>
        <v>0</v>
      </c>
      <c r="AK24" s="1233">
        <f>'ellátottak önk.'!F26</f>
        <v>0</v>
      </c>
      <c r="AL24" s="1232">
        <f t="shared" si="0"/>
        <v>400</v>
      </c>
      <c r="AM24" s="1198"/>
      <c r="AN24" s="1197"/>
      <c r="AO24" s="243"/>
      <c r="AP24" s="243"/>
    </row>
    <row r="25" spans="1:42" s="242" customFormat="1" ht="14.25" customHeight="1" x14ac:dyDescent="0.2">
      <c r="A25" s="1181"/>
      <c r="B25" s="1186">
        <f t="shared" si="1"/>
        <v>16</v>
      </c>
      <c r="C25" s="1187" t="s">
        <v>1059</v>
      </c>
      <c r="D25" s="1193"/>
      <c r="E25" s="1193"/>
      <c r="F25" s="1249"/>
      <c r="G25" s="1211"/>
      <c r="H25" s="1194"/>
      <c r="I25" s="1220"/>
      <c r="J25" s="1211"/>
      <c r="K25" s="1194"/>
      <c r="L25" s="1258"/>
      <c r="M25" s="1211"/>
      <c r="N25" s="1194"/>
      <c r="O25" s="1220"/>
      <c r="P25" s="1216">
        <v>660</v>
      </c>
      <c r="Q25" s="1195"/>
      <c r="R25" s="1254"/>
      <c r="S25" s="1215">
        <v>1542</v>
      </c>
      <c r="T25" s="1196"/>
      <c r="U25" s="1224"/>
      <c r="V25" s="1216"/>
      <c r="W25" s="1195"/>
      <c r="X25" s="1254"/>
      <c r="Y25" s="1211"/>
      <c r="Z25" s="1194"/>
      <c r="AA25" s="1220"/>
      <c r="AB25" s="1211"/>
      <c r="AC25" s="1194"/>
      <c r="AD25" s="1258"/>
      <c r="AE25" s="1211"/>
      <c r="AF25" s="1194"/>
      <c r="AG25" s="1220"/>
      <c r="AH25" s="1211"/>
      <c r="AI25" s="1220"/>
      <c r="AJ25" s="1229">
        <f>'ellátottak önk.'!E27</f>
        <v>0</v>
      </c>
      <c r="AK25" s="1233">
        <v>0</v>
      </c>
      <c r="AL25" s="1232">
        <f t="shared" si="0"/>
        <v>2202</v>
      </c>
      <c r="AM25" s="1198"/>
      <c r="AN25" s="1197"/>
      <c r="AO25" s="243"/>
      <c r="AP25" s="243"/>
    </row>
    <row r="26" spans="1:42" s="242" customFormat="1" ht="15" customHeight="1" x14ac:dyDescent="0.2">
      <c r="A26" s="1181"/>
      <c r="B26" s="1186">
        <f t="shared" si="1"/>
        <v>17</v>
      </c>
      <c r="C26" s="749" t="s">
        <v>1044</v>
      </c>
      <c r="D26" s="712"/>
      <c r="E26" s="712"/>
      <c r="F26" s="1250"/>
      <c r="G26" s="1212"/>
      <c r="H26" s="712"/>
      <c r="I26" s="1221"/>
      <c r="J26" s="1212"/>
      <c r="K26" s="712"/>
      <c r="L26" s="1250"/>
      <c r="M26" s="1212"/>
      <c r="N26" s="712"/>
      <c r="O26" s="1221"/>
      <c r="P26" s="1212"/>
      <c r="Q26" s="712"/>
      <c r="R26" s="1250"/>
      <c r="S26" s="1212">
        <v>20</v>
      </c>
      <c r="T26" s="712"/>
      <c r="U26" s="1221"/>
      <c r="V26" s="1212"/>
      <c r="W26" s="712"/>
      <c r="X26" s="1250"/>
      <c r="Y26" s="1212"/>
      <c r="Z26" s="712"/>
      <c r="AA26" s="1221"/>
      <c r="AB26" s="1212"/>
      <c r="AC26" s="712"/>
      <c r="AD26" s="1250"/>
      <c r="AE26" s="1212"/>
      <c r="AF26" s="712"/>
      <c r="AG26" s="1221"/>
      <c r="AH26" s="1212"/>
      <c r="AI26" s="1221"/>
      <c r="AJ26" s="1212"/>
      <c r="AK26" s="1221"/>
      <c r="AL26" s="1217">
        <f t="shared" si="0"/>
        <v>20</v>
      </c>
      <c r="AM26" s="711"/>
      <c r="AN26" s="1197"/>
      <c r="AO26" s="243"/>
      <c r="AP26" s="243"/>
    </row>
    <row r="27" spans="1:42" s="242" customFormat="1" ht="15" customHeight="1" x14ac:dyDescent="0.2">
      <c r="A27" s="1181"/>
      <c r="B27" s="1186">
        <f t="shared" si="1"/>
        <v>18</v>
      </c>
      <c r="C27" s="749" t="s">
        <v>1043</v>
      </c>
      <c r="D27" s="712"/>
      <c r="E27" s="712"/>
      <c r="F27" s="1250"/>
      <c r="G27" s="1212"/>
      <c r="H27" s="712"/>
      <c r="I27" s="1221"/>
      <c r="J27" s="1212"/>
      <c r="K27" s="712"/>
      <c r="L27" s="1250"/>
      <c r="M27" s="1212"/>
      <c r="N27" s="712"/>
      <c r="O27" s="1221"/>
      <c r="P27" s="1212"/>
      <c r="Q27" s="712"/>
      <c r="R27" s="1250"/>
      <c r="S27" s="1212">
        <v>120</v>
      </c>
      <c r="T27" s="712"/>
      <c r="U27" s="1221"/>
      <c r="V27" s="1212"/>
      <c r="W27" s="712"/>
      <c r="X27" s="1250"/>
      <c r="Y27" s="1212"/>
      <c r="Z27" s="712"/>
      <c r="AA27" s="1221"/>
      <c r="AB27" s="1212"/>
      <c r="AC27" s="712"/>
      <c r="AD27" s="1250"/>
      <c r="AE27" s="1212"/>
      <c r="AF27" s="712"/>
      <c r="AG27" s="1221"/>
      <c r="AH27" s="1212"/>
      <c r="AI27" s="1221"/>
      <c r="AJ27" s="1212"/>
      <c r="AK27" s="1221"/>
      <c r="AL27" s="1217">
        <f t="shared" si="0"/>
        <v>120</v>
      </c>
      <c r="AM27" s="1197"/>
      <c r="AN27" s="1197"/>
      <c r="AO27" s="243"/>
      <c r="AP27" s="243"/>
    </row>
    <row r="28" spans="1:42" s="242" customFormat="1" ht="15" customHeight="1" x14ac:dyDescent="0.2">
      <c r="A28" s="1181"/>
      <c r="B28" s="1186">
        <f t="shared" si="1"/>
        <v>19</v>
      </c>
      <c r="C28" s="749" t="s">
        <v>1061</v>
      </c>
      <c r="D28" s="712"/>
      <c r="E28" s="712"/>
      <c r="F28" s="1250"/>
      <c r="G28" s="1212"/>
      <c r="H28" s="712"/>
      <c r="I28" s="1221"/>
      <c r="J28" s="1212"/>
      <c r="K28" s="712"/>
      <c r="L28" s="1250"/>
      <c r="M28" s="1212"/>
      <c r="N28" s="712"/>
      <c r="O28" s="1221"/>
      <c r="P28" s="1212">
        <v>6431</v>
      </c>
      <c r="Q28" s="712"/>
      <c r="R28" s="1250"/>
      <c r="S28" s="1212">
        <v>7330</v>
      </c>
      <c r="T28" s="712"/>
      <c r="U28" s="1221"/>
      <c r="V28" s="1212"/>
      <c r="W28" s="712"/>
      <c r="X28" s="1250"/>
      <c r="Y28" s="1212"/>
      <c r="Z28" s="712"/>
      <c r="AA28" s="1221"/>
      <c r="AB28" s="1212"/>
      <c r="AC28" s="712"/>
      <c r="AD28" s="1250"/>
      <c r="AE28" s="1212"/>
      <c r="AF28" s="712"/>
      <c r="AG28" s="1221"/>
      <c r="AH28" s="1212"/>
      <c r="AI28" s="1221"/>
      <c r="AJ28" s="1212"/>
      <c r="AK28" s="1221"/>
      <c r="AL28" s="1217">
        <f t="shared" si="0"/>
        <v>13761</v>
      </c>
      <c r="AM28" s="1197"/>
      <c r="AN28" s="1197"/>
      <c r="AO28" s="243"/>
      <c r="AP28" s="243"/>
    </row>
    <row r="29" spans="1:42" s="242" customFormat="1" ht="15" customHeight="1" x14ac:dyDescent="0.2">
      <c r="A29" s="1181"/>
      <c r="B29" s="1186">
        <f t="shared" si="1"/>
        <v>20</v>
      </c>
      <c r="C29" s="749" t="s">
        <v>1067</v>
      </c>
      <c r="D29" s="712"/>
      <c r="E29" s="712"/>
      <c r="F29" s="1250"/>
      <c r="G29" s="1212"/>
      <c r="H29" s="712"/>
      <c r="I29" s="1221"/>
      <c r="J29" s="1212"/>
      <c r="K29" s="712"/>
      <c r="L29" s="1250"/>
      <c r="M29" s="1212"/>
      <c r="N29" s="712"/>
      <c r="O29" s="1221"/>
      <c r="P29" s="1212"/>
      <c r="Q29" s="712"/>
      <c r="R29" s="1250"/>
      <c r="S29" s="1212">
        <v>1390</v>
      </c>
      <c r="T29" s="712"/>
      <c r="U29" s="1221"/>
      <c r="V29" s="1212"/>
      <c r="W29" s="712"/>
      <c r="X29" s="1250"/>
      <c r="Y29" s="1212"/>
      <c r="Z29" s="712"/>
      <c r="AA29" s="1221"/>
      <c r="AB29" s="1212"/>
      <c r="AC29" s="712"/>
      <c r="AD29" s="1250"/>
      <c r="AE29" s="1212"/>
      <c r="AF29" s="712"/>
      <c r="AG29" s="1221"/>
      <c r="AH29" s="1212"/>
      <c r="AI29" s="1221"/>
      <c r="AJ29" s="1212"/>
      <c r="AK29" s="1221"/>
      <c r="AL29" s="1217">
        <f t="shared" si="0"/>
        <v>1390</v>
      </c>
      <c r="AM29" s="1197"/>
      <c r="AN29" s="1197"/>
      <c r="AO29" s="247"/>
      <c r="AP29" s="243"/>
    </row>
    <row r="30" spans="1:42" s="242" customFormat="1" ht="15" customHeight="1" x14ac:dyDescent="0.2">
      <c r="A30" s="1181"/>
      <c r="B30" s="1186">
        <f t="shared" si="1"/>
        <v>21</v>
      </c>
      <c r="C30" s="749" t="s">
        <v>1045</v>
      </c>
      <c r="D30" s="712"/>
      <c r="E30" s="712"/>
      <c r="F30" s="1250"/>
      <c r="G30" s="1212"/>
      <c r="H30" s="712"/>
      <c r="I30" s="1221"/>
      <c r="J30" s="1212"/>
      <c r="K30" s="712"/>
      <c r="L30" s="1250"/>
      <c r="M30" s="1212"/>
      <c r="N30" s="712"/>
      <c r="O30" s="1221"/>
      <c r="P30" s="1212">
        <v>288</v>
      </c>
      <c r="Q30" s="712"/>
      <c r="R30" s="1250"/>
      <c r="S30" s="1212">
        <v>13763</v>
      </c>
      <c r="T30" s="712"/>
      <c r="U30" s="1221"/>
      <c r="V30" s="1212"/>
      <c r="W30" s="712"/>
      <c r="X30" s="1250"/>
      <c r="Y30" s="1212"/>
      <c r="Z30" s="712"/>
      <c r="AA30" s="1221"/>
      <c r="AB30" s="1212"/>
      <c r="AC30" s="712"/>
      <c r="AD30" s="1250"/>
      <c r="AE30" s="1212"/>
      <c r="AF30" s="712"/>
      <c r="AG30" s="1221"/>
      <c r="AH30" s="1212"/>
      <c r="AI30" s="1221"/>
      <c r="AJ30" s="1212"/>
      <c r="AK30" s="1221"/>
      <c r="AL30" s="1217">
        <f t="shared" si="0"/>
        <v>14051</v>
      </c>
      <c r="AM30" s="1197"/>
      <c r="AN30" s="1197"/>
      <c r="AO30" s="243"/>
      <c r="AP30" s="243"/>
    </row>
    <row r="31" spans="1:42" s="242" customFormat="1" ht="15" customHeight="1" x14ac:dyDescent="0.2">
      <c r="A31" s="1181"/>
      <c r="B31" s="1186">
        <f t="shared" si="1"/>
        <v>22</v>
      </c>
      <c r="C31" s="749" t="s">
        <v>1046</v>
      </c>
      <c r="D31" s="712">
        <v>38037</v>
      </c>
      <c r="E31" s="712"/>
      <c r="F31" s="1250"/>
      <c r="G31" s="1212"/>
      <c r="H31" s="712"/>
      <c r="I31" s="1221"/>
      <c r="J31" s="1212">
        <v>11893</v>
      </c>
      <c r="K31" s="712"/>
      <c r="L31" s="1250"/>
      <c r="M31" s="1212"/>
      <c r="N31" s="712"/>
      <c r="O31" s="1221"/>
      <c r="P31" s="1212">
        <v>1220</v>
      </c>
      <c r="Q31" s="712"/>
      <c r="R31" s="1250"/>
      <c r="S31" s="1212"/>
      <c r="T31" s="712"/>
      <c r="U31" s="1221"/>
      <c r="V31" s="1212"/>
      <c r="W31" s="712"/>
      <c r="X31" s="1250"/>
      <c r="Y31" s="1212"/>
      <c r="Z31" s="712"/>
      <c r="AA31" s="1221"/>
      <c r="AB31" s="1212"/>
      <c r="AC31" s="712"/>
      <c r="AD31" s="1250"/>
      <c r="AE31" s="1212"/>
      <c r="AF31" s="712"/>
      <c r="AG31" s="1221"/>
      <c r="AH31" s="1212"/>
      <c r="AI31" s="1221"/>
      <c r="AJ31" s="1212"/>
      <c r="AK31" s="1221"/>
      <c r="AL31" s="1217">
        <f t="shared" si="0"/>
        <v>51150</v>
      </c>
      <c r="AM31" s="711"/>
      <c r="AN31" s="1197"/>
      <c r="AO31" s="243"/>
      <c r="AP31" s="243"/>
    </row>
    <row r="32" spans="1:42" s="242" customFormat="1" ht="15" customHeight="1" x14ac:dyDescent="0.2">
      <c r="A32" s="1181"/>
      <c r="B32" s="1186">
        <f t="shared" si="1"/>
        <v>23</v>
      </c>
      <c r="C32" s="749" t="s">
        <v>1053</v>
      </c>
      <c r="D32" s="712">
        <v>26</v>
      </c>
      <c r="E32" s="712"/>
      <c r="F32" s="1250"/>
      <c r="G32" s="1212"/>
      <c r="H32" s="712"/>
      <c r="I32" s="1221"/>
      <c r="J32" s="1212">
        <v>22</v>
      </c>
      <c r="K32" s="712"/>
      <c r="L32" s="1250"/>
      <c r="M32" s="1212"/>
      <c r="N32" s="712"/>
      <c r="O32" s="1221"/>
      <c r="P32" s="1212">
        <v>3313</v>
      </c>
      <c r="Q32" s="712"/>
      <c r="R32" s="1250"/>
      <c r="S32" s="1212"/>
      <c r="T32" s="712"/>
      <c r="U32" s="1221"/>
      <c r="V32" s="1212"/>
      <c r="W32" s="712"/>
      <c r="X32" s="1250"/>
      <c r="Y32" s="1212"/>
      <c r="Z32" s="712"/>
      <c r="AA32" s="1221"/>
      <c r="AB32" s="1212"/>
      <c r="AC32" s="712"/>
      <c r="AD32" s="1250"/>
      <c r="AE32" s="1212"/>
      <c r="AF32" s="712"/>
      <c r="AG32" s="1221"/>
      <c r="AH32" s="1212"/>
      <c r="AI32" s="1221"/>
      <c r="AJ32" s="1212"/>
      <c r="AK32" s="1221"/>
      <c r="AL32" s="1217">
        <f t="shared" si="0"/>
        <v>3361</v>
      </c>
      <c r="AM32" s="1197"/>
      <c r="AN32" s="1199"/>
      <c r="AO32" s="243"/>
      <c r="AP32" s="243"/>
    </row>
    <row r="33" spans="1:42" s="412" customFormat="1" ht="15" customHeight="1" x14ac:dyDescent="0.2">
      <c r="A33" s="1182"/>
      <c r="B33" s="1186">
        <f t="shared" si="1"/>
        <v>24</v>
      </c>
      <c r="C33" s="1200" t="s">
        <v>1050</v>
      </c>
      <c r="D33" s="1201"/>
      <c r="E33" s="1201"/>
      <c r="F33" s="1251"/>
      <c r="G33" s="1213">
        <f>2200+1000</f>
        <v>3200</v>
      </c>
      <c r="H33" s="1201"/>
      <c r="I33" s="1222"/>
      <c r="J33" s="1213"/>
      <c r="K33" s="1201"/>
      <c r="L33" s="1251"/>
      <c r="M33" s="1213">
        <f>600+200</f>
        <v>800</v>
      </c>
      <c r="N33" s="1201"/>
      <c r="O33" s="1222"/>
      <c r="P33" s="1213"/>
      <c r="Q33" s="1201"/>
      <c r="R33" s="1251"/>
      <c r="S33" s="1213">
        <f>9272+2000</f>
        <v>11272</v>
      </c>
      <c r="T33" s="1201"/>
      <c r="U33" s="1222"/>
      <c r="V33" s="1213"/>
      <c r="W33" s="1201"/>
      <c r="X33" s="1251"/>
      <c r="Y33" s="1213"/>
      <c r="Z33" s="1201"/>
      <c r="AA33" s="1222"/>
      <c r="AB33" s="1213"/>
      <c r="AC33" s="1201"/>
      <c r="AD33" s="1251"/>
      <c r="AE33" s="1213"/>
      <c r="AF33" s="1201"/>
      <c r="AG33" s="1222"/>
      <c r="AH33" s="1213"/>
      <c r="AI33" s="1222"/>
      <c r="AJ33" s="1213"/>
      <c r="AK33" s="1222"/>
      <c r="AL33" s="1234">
        <f t="shared" si="0"/>
        <v>15272</v>
      </c>
      <c r="AM33" s="1202"/>
      <c r="AN33" s="1203"/>
      <c r="AO33" s="411"/>
      <c r="AP33" s="411"/>
    </row>
    <row r="34" spans="1:42" s="242" customFormat="1" ht="15" customHeight="1" x14ac:dyDescent="0.2">
      <c r="A34" s="1181"/>
      <c r="B34" s="1186">
        <f t="shared" si="1"/>
        <v>25</v>
      </c>
      <c r="C34" s="749" t="s">
        <v>1056</v>
      </c>
      <c r="D34" s="712"/>
      <c r="E34" s="712"/>
      <c r="F34" s="1250"/>
      <c r="G34" s="1212"/>
      <c r="H34" s="712"/>
      <c r="I34" s="1221"/>
      <c r="J34" s="1212"/>
      <c r="K34" s="712"/>
      <c r="L34" s="1250"/>
      <c r="M34" s="1212"/>
      <c r="N34" s="712"/>
      <c r="O34" s="1221"/>
      <c r="P34" s="1212">
        <f>20530-5939</f>
        <v>14591</v>
      </c>
      <c r="Q34" s="712"/>
      <c r="R34" s="1250"/>
      <c r="S34" s="1212"/>
      <c r="T34" s="712"/>
      <c r="U34" s="1221"/>
      <c r="V34" s="1212"/>
      <c r="W34" s="712"/>
      <c r="X34" s="1250"/>
      <c r="Y34" s="1212"/>
      <c r="Z34" s="712"/>
      <c r="AA34" s="1221"/>
      <c r="AB34" s="1212"/>
      <c r="AC34" s="712"/>
      <c r="AD34" s="1250"/>
      <c r="AE34" s="1212"/>
      <c r="AF34" s="712"/>
      <c r="AG34" s="1221"/>
      <c r="AH34" s="1212"/>
      <c r="AI34" s="1221"/>
      <c r="AJ34" s="1212"/>
      <c r="AK34" s="1221"/>
      <c r="AL34" s="1217">
        <f t="shared" si="0"/>
        <v>14591</v>
      </c>
      <c r="AM34" s="1204"/>
      <c r="AN34" s="1197"/>
      <c r="AO34" s="243"/>
      <c r="AP34" s="243"/>
    </row>
    <row r="35" spans="1:42" s="242" customFormat="1" ht="15" customHeight="1" x14ac:dyDescent="0.2">
      <c r="A35" s="1181"/>
      <c r="B35" s="1186">
        <f t="shared" si="1"/>
        <v>26</v>
      </c>
      <c r="C35" s="749" t="s">
        <v>1080</v>
      </c>
      <c r="D35" s="712"/>
      <c r="E35" s="712"/>
      <c r="F35" s="1250"/>
      <c r="G35" s="1212"/>
      <c r="H35" s="712"/>
      <c r="I35" s="1221"/>
      <c r="J35" s="1212"/>
      <c r="K35" s="712"/>
      <c r="L35" s="1250"/>
      <c r="M35" s="1212"/>
      <c r="N35" s="712"/>
      <c r="O35" s="1221"/>
      <c r="P35" s="1212"/>
      <c r="Q35" s="712"/>
      <c r="R35" s="1250"/>
      <c r="S35" s="1212"/>
      <c r="T35" s="712"/>
      <c r="U35" s="1221"/>
      <c r="V35" s="1212"/>
      <c r="W35" s="712"/>
      <c r="X35" s="1250"/>
      <c r="Y35" s="1212"/>
      <c r="Z35" s="712"/>
      <c r="AA35" s="1221"/>
      <c r="AB35" s="1212"/>
      <c r="AC35" s="712"/>
      <c r="AD35" s="1250"/>
      <c r="AE35" s="1212"/>
      <c r="AF35" s="712"/>
      <c r="AG35" s="1221"/>
      <c r="AH35" s="1212"/>
      <c r="AI35" s="1221"/>
      <c r="AJ35" s="1212"/>
      <c r="AK35" s="1221"/>
      <c r="AL35" s="1217">
        <v>0</v>
      </c>
      <c r="AM35" s="1204"/>
      <c r="AN35" s="1197"/>
      <c r="AO35" s="243"/>
      <c r="AP35" s="243"/>
    </row>
    <row r="36" spans="1:42" s="242" customFormat="1" ht="15" customHeight="1" x14ac:dyDescent="0.2">
      <c r="A36" s="1181"/>
      <c r="B36" s="1186">
        <f t="shared" si="1"/>
        <v>27</v>
      </c>
      <c r="C36" s="749" t="s">
        <v>1081</v>
      </c>
      <c r="D36" s="712"/>
      <c r="E36" s="712"/>
      <c r="F36" s="1250"/>
      <c r="G36" s="1212"/>
      <c r="H36" s="712"/>
      <c r="I36" s="1221"/>
      <c r="J36" s="1212"/>
      <c r="K36" s="712"/>
      <c r="L36" s="1250"/>
      <c r="M36" s="1212"/>
      <c r="N36" s="712"/>
      <c r="O36" s="1221"/>
      <c r="P36" s="1212"/>
      <c r="Q36" s="712"/>
      <c r="R36" s="1250"/>
      <c r="S36" s="1212"/>
      <c r="T36" s="712"/>
      <c r="U36" s="1221"/>
      <c r="V36" s="1212"/>
      <c r="W36" s="712"/>
      <c r="X36" s="1250"/>
      <c r="Y36" s="1212"/>
      <c r="Z36" s="712"/>
      <c r="AA36" s="1221"/>
      <c r="AB36" s="1212"/>
      <c r="AC36" s="712"/>
      <c r="AD36" s="1250"/>
      <c r="AE36" s="1212"/>
      <c r="AF36" s="712"/>
      <c r="AG36" s="1221"/>
      <c r="AH36" s="1212"/>
      <c r="AI36" s="1221"/>
      <c r="AJ36" s="1212"/>
      <c r="AK36" s="1221"/>
      <c r="AL36" s="1217">
        <v>0</v>
      </c>
      <c r="AM36" s="1204"/>
      <c r="AN36" s="1197"/>
      <c r="AO36" s="243"/>
      <c r="AP36" s="243"/>
    </row>
    <row r="37" spans="1:42" s="242" customFormat="1" ht="15" customHeight="1" x14ac:dyDescent="0.2">
      <c r="A37" s="1181"/>
      <c r="B37" s="1186">
        <f t="shared" si="1"/>
        <v>28</v>
      </c>
      <c r="C37" s="749" t="s">
        <v>1052</v>
      </c>
      <c r="D37" s="712"/>
      <c r="E37" s="712"/>
      <c r="F37" s="1250"/>
      <c r="G37" s="1212"/>
      <c r="H37" s="712"/>
      <c r="I37" s="1221"/>
      <c r="J37" s="1212"/>
      <c r="K37" s="712"/>
      <c r="L37" s="1250"/>
      <c r="M37" s="1212"/>
      <c r="N37" s="712"/>
      <c r="O37" s="1221"/>
      <c r="P37" s="1212">
        <v>6833</v>
      </c>
      <c r="Q37" s="712"/>
      <c r="R37" s="1250"/>
      <c r="S37" s="1212"/>
      <c r="T37" s="712"/>
      <c r="U37" s="1221"/>
      <c r="V37" s="1212"/>
      <c r="W37" s="712"/>
      <c r="X37" s="1250"/>
      <c r="Y37" s="1212"/>
      <c r="Z37" s="712"/>
      <c r="AA37" s="1221"/>
      <c r="AB37" s="1212"/>
      <c r="AC37" s="712"/>
      <c r="AD37" s="1250"/>
      <c r="AE37" s="1212"/>
      <c r="AF37" s="712"/>
      <c r="AG37" s="1221"/>
      <c r="AH37" s="1212"/>
      <c r="AI37" s="1221"/>
      <c r="AJ37" s="1212"/>
      <c r="AK37" s="1221"/>
      <c r="AL37" s="1217">
        <f t="shared" ref="AL37:AL62" si="2">SUM(D37:AK37)</f>
        <v>6833</v>
      </c>
      <c r="AM37" s="1204"/>
      <c r="AN37" s="1197"/>
      <c r="AO37" s="243"/>
      <c r="AP37" s="243"/>
    </row>
    <row r="38" spans="1:42" s="242" customFormat="1" ht="15" customHeight="1" x14ac:dyDescent="0.2">
      <c r="A38" s="1181"/>
      <c r="B38" s="1186">
        <f t="shared" si="1"/>
        <v>29</v>
      </c>
      <c r="C38" s="749" t="s">
        <v>1057</v>
      </c>
      <c r="D38" s="712"/>
      <c r="E38" s="712"/>
      <c r="F38" s="1250"/>
      <c r="G38" s="1212"/>
      <c r="H38" s="712"/>
      <c r="I38" s="1221"/>
      <c r="J38" s="1212"/>
      <c r="K38" s="712"/>
      <c r="L38" s="1250"/>
      <c r="M38" s="1212"/>
      <c r="N38" s="712"/>
      <c r="O38" s="1221"/>
      <c r="P38" s="1212">
        <f>55738+2334-250</f>
        <v>57822</v>
      </c>
      <c r="Q38" s="712"/>
      <c r="R38" s="1250"/>
      <c r="S38" s="1212"/>
      <c r="T38" s="712"/>
      <c r="U38" s="1221"/>
      <c r="V38" s="1212"/>
      <c r="W38" s="712"/>
      <c r="X38" s="1250"/>
      <c r="Y38" s="1212"/>
      <c r="Z38" s="712"/>
      <c r="AA38" s="1221"/>
      <c r="AB38" s="1212"/>
      <c r="AC38" s="712"/>
      <c r="AD38" s="1250"/>
      <c r="AE38" s="1212"/>
      <c r="AF38" s="712"/>
      <c r="AG38" s="1221"/>
      <c r="AH38" s="1212"/>
      <c r="AI38" s="1221"/>
      <c r="AJ38" s="1212"/>
      <c r="AK38" s="1221"/>
      <c r="AL38" s="1217">
        <f t="shared" si="2"/>
        <v>57822</v>
      </c>
      <c r="AM38" s="1204"/>
      <c r="AN38" s="1197"/>
      <c r="AO38" s="243"/>
      <c r="AP38" s="243"/>
    </row>
    <row r="39" spans="1:42" s="242" customFormat="1" ht="24" customHeight="1" x14ac:dyDescent="0.2">
      <c r="A39" s="1181"/>
      <c r="B39" s="1186">
        <f t="shared" si="1"/>
        <v>30</v>
      </c>
      <c r="C39" s="1187" t="s">
        <v>1178</v>
      </c>
      <c r="D39" s="1205"/>
      <c r="E39" s="1205"/>
      <c r="F39" s="1252"/>
      <c r="G39" s="1214"/>
      <c r="H39" s="1205"/>
      <c r="I39" s="1223"/>
      <c r="J39" s="1214"/>
      <c r="K39" s="1205"/>
      <c r="L39" s="1252"/>
      <c r="M39" s="1214"/>
      <c r="N39" s="1205"/>
      <c r="O39" s="1223"/>
      <c r="P39" s="1214">
        <v>5000</v>
      </c>
      <c r="Q39" s="1205"/>
      <c r="R39" s="1252"/>
      <c r="S39" s="1214"/>
      <c r="T39" s="1205"/>
      <c r="U39" s="1223"/>
      <c r="V39" s="1214"/>
      <c r="W39" s="1205"/>
      <c r="X39" s="1252"/>
      <c r="Y39" s="1214"/>
      <c r="Z39" s="1205"/>
      <c r="AA39" s="1223"/>
      <c r="AB39" s="1214"/>
      <c r="AC39" s="1205"/>
      <c r="AD39" s="1252"/>
      <c r="AE39" s="1214"/>
      <c r="AF39" s="1205"/>
      <c r="AG39" s="1223"/>
      <c r="AH39" s="1214"/>
      <c r="AI39" s="1223"/>
      <c r="AJ39" s="1214"/>
      <c r="AK39" s="1223"/>
      <c r="AL39" s="1235">
        <f t="shared" si="2"/>
        <v>5000</v>
      </c>
      <c r="AM39" s="1204"/>
      <c r="AN39" s="1197"/>
      <c r="AO39" s="243"/>
      <c r="AP39" s="243"/>
    </row>
    <row r="40" spans="1:42" s="242" customFormat="1" ht="24" customHeight="1" x14ac:dyDescent="0.2">
      <c r="A40" s="1181"/>
      <c r="B40" s="1186">
        <f t="shared" si="1"/>
        <v>31</v>
      </c>
      <c r="C40" s="1206" t="s">
        <v>1179</v>
      </c>
      <c r="D40" s="1196"/>
      <c r="E40" s="1196"/>
      <c r="F40" s="1253"/>
      <c r="G40" s="1215"/>
      <c r="H40" s="1196"/>
      <c r="I40" s="1224"/>
      <c r="J40" s="1215"/>
      <c r="K40" s="1196"/>
      <c r="L40" s="1253"/>
      <c r="M40" s="1215"/>
      <c r="N40" s="1196"/>
      <c r="O40" s="1224"/>
      <c r="P40" s="1215">
        <v>63223</v>
      </c>
      <c r="Q40" s="1196"/>
      <c r="R40" s="1253"/>
      <c r="S40" s="1215"/>
      <c r="T40" s="1196"/>
      <c r="U40" s="1224"/>
      <c r="V40" s="1215"/>
      <c r="W40" s="1196"/>
      <c r="X40" s="1253"/>
      <c r="Y40" s="1215"/>
      <c r="Z40" s="1196"/>
      <c r="AA40" s="1224"/>
      <c r="AB40" s="1215"/>
      <c r="AC40" s="1196"/>
      <c r="AD40" s="1253"/>
      <c r="AE40" s="1215"/>
      <c r="AF40" s="1196"/>
      <c r="AG40" s="1224"/>
      <c r="AH40" s="1215"/>
      <c r="AI40" s="1224"/>
      <c r="AJ40" s="1215"/>
      <c r="AK40" s="1224"/>
      <c r="AL40" s="1232">
        <f t="shared" si="2"/>
        <v>63223</v>
      </c>
      <c r="AM40" s="1204"/>
      <c r="AN40" s="1197"/>
      <c r="AO40" s="243"/>
      <c r="AP40" s="243"/>
    </row>
    <row r="41" spans="1:42" s="242" customFormat="1" ht="15" customHeight="1" x14ac:dyDescent="0.2">
      <c r="A41" s="1181"/>
      <c r="B41" s="1186">
        <f t="shared" si="1"/>
        <v>32</v>
      </c>
      <c r="C41" s="749" t="s">
        <v>1051</v>
      </c>
      <c r="D41" s="712"/>
      <c r="E41" s="712"/>
      <c r="F41" s="1250"/>
      <c r="G41" s="1212"/>
      <c r="H41" s="712"/>
      <c r="I41" s="1221"/>
      <c r="J41" s="1212"/>
      <c r="K41" s="712"/>
      <c r="L41" s="1250"/>
      <c r="M41" s="1212"/>
      <c r="N41" s="712"/>
      <c r="O41" s="1221"/>
      <c r="P41" s="1212"/>
      <c r="Q41" s="712"/>
      <c r="R41" s="1250"/>
      <c r="S41" s="1212">
        <v>14168</v>
      </c>
      <c r="T41" s="712"/>
      <c r="U41" s="1221"/>
      <c r="V41" s="1212"/>
      <c r="W41" s="712"/>
      <c r="X41" s="1250"/>
      <c r="Y41" s="1212"/>
      <c r="Z41" s="712"/>
      <c r="AA41" s="1221"/>
      <c r="AB41" s="1212"/>
      <c r="AC41" s="712"/>
      <c r="AD41" s="1250"/>
      <c r="AE41" s="1212"/>
      <c r="AF41" s="712"/>
      <c r="AG41" s="1221"/>
      <c r="AH41" s="1212"/>
      <c r="AI41" s="1221"/>
      <c r="AJ41" s="1212"/>
      <c r="AK41" s="1221"/>
      <c r="AL41" s="1217">
        <f t="shared" si="2"/>
        <v>14168</v>
      </c>
      <c r="AM41" s="1204"/>
      <c r="AN41" s="1197"/>
      <c r="AO41" s="243"/>
      <c r="AP41" s="243"/>
    </row>
    <row r="42" spans="1:42" s="242" customFormat="1" ht="17.25" customHeight="1" x14ac:dyDescent="0.2">
      <c r="A42" s="1181"/>
      <c r="B42" s="1186">
        <f t="shared" si="1"/>
        <v>33</v>
      </c>
      <c r="C42" s="1206" t="s">
        <v>1058</v>
      </c>
      <c r="D42" s="712"/>
      <c r="E42" s="712"/>
      <c r="F42" s="1250"/>
      <c r="G42" s="1215">
        <f>1600+200</f>
        <v>1800</v>
      </c>
      <c r="H42" s="1196"/>
      <c r="I42" s="1224"/>
      <c r="J42" s="1215"/>
      <c r="K42" s="1196"/>
      <c r="L42" s="1253"/>
      <c r="M42" s="1215">
        <v>432</v>
      </c>
      <c r="N42" s="1196"/>
      <c r="O42" s="1224"/>
      <c r="P42" s="1215">
        <v>350</v>
      </c>
      <c r="Q42" s="1196"/>
      <c r="R42" s="1253"/>
      <c r="S42" s="1215"/>
      <c r="T42" s="1196"/>
      <c r="U42" s="1224"/>
      <c r="V42" s="1215"/>
      <c r="W42" s="1196"/>
      <c r="X42" s="1253"/>
      <c r="Y42" s="1215"/>
      <c r="Z42" s="1196"/>
      <c r="AA42" s="1224"/>
      <c r="AB42" s="1215"/>
      <c r="AC42" s="1196"/>
      <c r="AD42" s="1253"/>
      <c r="AE42" s="1215"/>
      <c r="AF42" s="1196"/>
      <c r="AG42" s="1224"/>
      <c r="AH42" s="1215"/>
      <c r="AI42" s="1224"/>
      <c r="AJ42" s="1215"/>
      <c r="AK42" s="1224"/>
      <c r="AL42" s="1232">
        <f t="shared" si="2"/>
        <v>2582</v>
      </c>
      <c r="AM42" s="1204"/>
      <c r="AN42" s="1197"/>
      <c r="AO42" s="243"/>
      <c r="AP42" s="243"/>
    </row>
    <row r="43" spans="1:42" s="242" customFormat="1" ht="15" customHeight="1" x14ac:dyDescent="0.2">
      <c r="A43" s="1181"/>
      <c r="B43" s="1186">
        <f t="shared" si="1"/>
        <v>34</v>
      </c>
      <c r="C43" s="749" t="s">
        <v>1047</v>
      </c>
      <c r="D43" s="712"/>
      <c r="E43" s="712"/>
      <c r="F43" s="1250"/>
      <c r="G43" s="1212">
        <v>10000</v>
      </c>
      <c r="H43" s="712"/>
      <c r="I43" s="1221"/>
      <c r="J43" s="1212"/>
      <c r="K43" s="712"/>
      <c r="L43" s="1250"/>
      <c r="M43" s="1212">
        <v>5000</v>
      </c>
      <c r="N43" s="712"/>
      <c r="O43" s="1221"/>
      <c r="P43" s="1212"/>
      <c r="Q43" s="712"/>
      <c r="R43" s="1250"/>
      <c r="S43" s="1212">
        <v>15216</v>
      </c>
      <c r="T43" s="712"/>
      <c r="U43" s="1221"/>
      <c r="V43" s="1212"/>
      <c r="W43" s="712"/>
      <c r="X43" s="1250"/>
      <c r="Y43" s="1212"/>
      <c r="Z43" s="712"/>
      <c r="AA43" s="1221"/>
      <c r="AB43" s="1212"/>
      <c r="AC43" s="712"/>
      <c r="AD43" s="1250"/>
      <c r="AE43" s="1212"/>
      <c r="AF43" s="712"/>
      <c r="AG43" s="1221"/>
      <c r="AH43" s="1212"/>
      <c r="AI43" s="1221"/>
      <c r="AJ43" s="1212"/>
      <c r="AK43" s="1221"/>
      <c r="AL43" s="1217">
        <f t="shared" si="2"/>
        <v>30216</v>
      </c>
      <c r="AM43" s="1204"/>
      <c r="AN43" s="1197"/>
      <c r="AO43" s="243"/>
      <c r="AP43" s="243"/>
    </row>
    <row r="44" spans="1:42" s="242" customFormat="1" ht="15" customHeight="1" x14ac:dyDescent="0.2">
      <c r="A44" s="1181"/>
      <c r="B44" s="1186">
        <f t="shared" si="1"/>
        <v>35</v>
      </c>
      <c r="C44" s="749" t="s">
        <v>1048</v>
      </c>
      <c r="D44" s="712"/>
      <c r="E44" s="712"/>
      <c r="F44" s="1250"/>
      <c r="G44" s="1212"/>
      <c r="H44" s="712"/>
      <c r="I44" s="1221"/>
      <c r="J44" s="1212"/>
      <c r="K44" s="712"/>
      <c r="L44" s="1250"/>
      <c r="M44" s="1212"/>
      <c r="N44" s="712"/>
      <c r="O44" s="1221"/>
      <c r="P44" s="1212"/>
      <c r="Q44" s="712"/>
      <c r="R44" s="1250"/>
      <c r="S44" s="1212">
        <v>3000</v>
      </c>
      <c r="T44" s="712"/>
      <c r="U44" s="1221"/>
      <c r="V44" s="1212"/>
      <c r="W44" s="712"/>
      <c r="X44" s="1250"/>
      <c r="Y44" s="1212"/>
      <c r="Z44" s="712"/>
      <c r="AA44" s="1221"/>
      <c r="AB44" s="1212"/>
      <c r="AC44" s="712"/>
      <c r="AD44" s="1250"/>
      <c r="AE44" s="1212"/>
      <c r="AF44" s="712"/>
      <c r="AG44" s="1221"/>
      <c r="AH44" s="1212"/>
      <c r="AI44" s="1221"/>
      <c r="AJ44" s="1212"/>
      <c r="AK44" s="1221"/>
      <c r="AL44" s="1217">
        <f t="shared" si="2"/>
        <v>3000</v>
      </c>
      <c r="AM44" s="1204"/>
      <c r="AN44" s="1197"/>
      <c r="AO44" s="243"/>
      <c r="AP44" s="243"/>
    </row>
    <row r="45" spans="1:42" s="242" customFormat="1" ht="15" customHeight="1" x14ac:dyDescent="0.2">
      <c r="A45" s="1181"/>
      <c r="B45" s="1186">
        <f t="shared" si="1"/>
        <v>36</v>
      </c>
      <c r="C45" s="749" t="s">
        <v>1169</v>
      </c>
      <c r="D45" s="712"/>
      <c r="E45" s="712"/>
      <c r="F45" s="1250"/>
      <c r="G45" s="1212"/>
      <c r="H45" s="712"/>
      <c r="I45" s="1221"/>
      <c r="J45" s="1212"/>
      <c r="K45" s="712"/>
      <c r="L45" s="1250"/>
      <c r="M45" s="1212"/>
      <c r="N45" s="712"/>
      <c r="O45" s="1221"/>
      <c r="P45" s="1212">
        <v>140</v>
      </c>
      <c r="Q45" s="712"/>
      <c r="R45" s="1250"/>
      <c r="S45" s="1212">
        <v>8427</v>
      </c>
      <c r="T45" s="712"/>
      <c r="U45" s="1221"/>
      <c r="V45" s="1212"/>
      <c r="W45" s="712"/>
      <c r="X45" s="1250"/>
      <c r="Y45" s="1212"/>
      <c r="Z45" s="712"/>
      <c r="AA45" s="1221"/>
      <c r="AB45" s="1212"/>
      <c r="AC45" s="712"/>
      <c r="AD45" s="1250"/>
      <c r="AE45" s="1212"/>
      <c r="AF45" s="712"/>
      <c r="AG45" s="1221"/>
      <c r="AH45" s="1212"/>
      <c r="AI45" s="1221"/>
      <c r="AJ45" s="1212"/>
      <c r="AK45" s="1221"/>
      <c r="AL45" s="1217">
        <f t="shared" si="2"/>
        <v>8567</v>
      </c>
      <c r="AM45" s="1204"/>
      <c r="AN45" s="1197"/>
      <c r="AO45" s="243"/>
      <c r="AP45" s="243"/>
    </row>
    <row r="46" spans="1:42" s="242" customFormat="1" ht="25.5" customHeight="1" x14ac:dyDescent="0.2">
      <c r="A46" s="1181"/>
      <c r="B46" s="1186">
        <f t="shared" si="1"/>
        <v>37</v>
      </c>
      <c r="C46" s="1206" t="s">
        <v>1170</v>
      </c>
      <c r="D46" s="1196"/>
      <c r="E46" s="1196"/>
      <c r="F46" s="1253"/>
      <c r="G46" s="1215"/>
      <c r="H46" s="1196"/>
      <c r="I46" s="1224"/>
      <c r="J46" s="1215"/>
      <c r="K46" s="1196"/>
      <c r="L46" s="1253"/>
      <c r="M46" s="1215"/>
      <c r="N46" s="1196"/>
      <c r="O46" s="1224"/>
      <c r="P46" s="1215">
        <v>10500</v>
      </c>
      <c r="Q46" s="1196"/>
      <c r="R46" s="1253"/>
      <c r="S46" s="1215"/>
      <c r="T46" s="1196"/>
      <c r="U46" s="1224"/>
      <c r="V46" s="1215"/>
      <c r="W46" s="1196"/>
      <c r="X46" s="1253"/>
      <c r="Y46" s="1215"/>
      <c r="Z46" s="1196"/>
      <c r="AA46" s="1224"/>
      <c r="AB46" s="1215"/>
      <c r="AC46" s="1196"/>
      <c r="AD46" s="1253"/>
      <c r="AE46" s="1215"/>
      <c r="AF46" s="1196"/>
      <c r="AG46" s="1224"/>
      <c r="AH46" s="1215"/>
      <c r="AI46" s="1224"/>
      <c r="AJ46" s="1215"/>
      <c r="AK46" s="1224"/>
      <c r="AL46" s="1232">
        <f t="shared" si="2"/>
        <v>10500</v>
      </c>
      <c r="AM46" s="1204"/>
      <c r="AN46" s="1197"/>
      <c r="AO46" s="243"/>
      <c r="AP46" s="243"/>
    </row>
    <row r="47" spans="1:42" s="242" customFormat="1" ht="15" customHeight="1" x14ac:dyDescent="0.2">
      <c r="A47" s="1181"/>
      <c r="B47" s="1186">
        <f t="shared" si="1"/>
        <v>38</v>
      </c>
      <c r="C47" s="1187" t="s">
        <v>1054</v>
      </c>
      <c r="D47" s="1195">
        <v>8796</v>
      </c>
      <c r="E47" s="1195"/>
      <c r="F47" s="1254"/>
      <c r="G47" s="1216">
        <v>645</v>
      </c>
      <c r="H47" s="1195"/>
      <c r="I47" s="1225"/>
      <c r="J47" s="1216">
        <v>2437</v>
      </c>
      <c r="K47" s="1195"/>
      <c r="L47" s="1254"/>
      <c r="M47" s="1212">
        <v>154</v>
      </c>
      <c r="N47" s="712"/>
      <c r="O47" s="1221"/>
      <c r="P47" s="1216">
        <f>15897+548</f>
        <v>16445</v>
      </c>
      <c r="Q47" s="1195"/>
      <c r="R47" s="1254"/>
      <c r="S47" s="1216"/>
      <c r="T47" s="1195"/>
      <c r="U47" s="1225"/>
      <c r="V47" s="1216"/>
      <c r="W47" s="1195"/>
      <c r="X47" s="1254"/>
      <c r="Y47" s="1211"/>
      <c r="Z47" s="1194"/>
      <c r="AA47" s="1220"/>
      <c r="AB47" s="1211"/>
      <c r="AC47" s="1194"/>
      <c r="AD47" s="1258"/>
      <c r="AE47" s="1211"/>
      <c r="AF47" s="1194"/>
      <c r="AG47" s="1220"/>
      <c r="AH47" s="1211"/>
      <c r="AI47" s="1220"/>
      <c r="AJ47" s="1211"/>
      <c r="AK47" s="1220"/>
      <c r="AL47" s="1217">
        <f t="shared" si="2"/>
        <v>28477</v>
      </c>
      <c r="AM47" s="1204"/>
      <c r="AN47" s="1197"/>
      <c r="AO47" s="243"/>
      <c r="AP47" s="243"/>
    </row>
    <row r="48" spans="1:42" s="242" customFormat="1" ht="15" customHeight="1" x14ac:dyDescent="0.2">
      <c r="A48" s="1181"/>
      <c r="B48" s="1186">
        <f t="shared" si="1"/>
        <v>39</v>
      </c>
      <c r="C48" s="749" t="s">
        <v>1049</v>
      </c>
      <c r="D48" s="712"/>
      <c r="E48" s="712"/>
      <c r="F48" s="1250"/>
      <c r="G48" s="1212">
        <f>12414+50+1482+50+2000</f>
        <v>15996</v>
      </c>
      <c r="H48" s="712"/>
      <c r="I48" s="1221"/>
      <c r="J48" s="1212"/>
      <c r="K48" s="712"/>
      <c r="L48" s="1250"/>
      <c r="M48" s="1212">
        <f>G48*0.42</f>
        <v>6718.32</v>
      </c>
      <c r="N48" s="712"/>
      <c r="O48" s="1221"/>
      <c r="P48" s="1212"/>
      <c r="Q48" s="712"/>
      <c r="R48" s="1250"/>
      <c r="S48" s="1212">
        <v>3594</v>
      </c>
      <c r="T48" s="712"/>
      <c r="U48" s="1221"/>
      <c r="V48" s="1212"/>
      <c r="W48" s="712"/>
      <c r="X48" s="1250"/>
      <c r="Y48" s="1212"/>
      <c r="Z48" s="712"/>
      <c r="AA48" s="1221"/>
      <c r="AB48" s="1212"/>
      <c r="AC48" s="712"/>
      <c r="AD48" s="1250"/>
      <c r="AE48" s="1212"/>
      <c r="AF48" s="712"/>
      <c r="AG48" s="1221"/>
      <c r="AH48" s="1212"/>
      <c r="AI48" s="1221"/>
      <c r="AJ48" s="1212"/>
      <c r="AK48" s="1221"/>
      <c r="AL48" s="1217">
        <f t="shared" si="2"/>
        <v>26308.32</v>
      </c>
      <c r="AM48" s="1204"/>
      <c r="AN48" s="1197"/>
      <c r="AO48" s="243"/>
      <c r="AP48" s="243"/>
    </row>
    <row r="49" spans="1:42" s="242" customFormat="1" ht="15" customHeight="1" x14ac:dyDescent="0.2">
      <c r="A49" s="1181"/>
      <c r="B49" s="1186">
        <f t="shared" si="1"/>
        <v>40</v>
      </c>
      <c r="C49" s="749" t="s">
        <v>1141</v>
      </c>
      <c r="D49" s="1207"/>
      <c r="E49" s="1207"/>
      <c r="F49" s="1255"/>
      <c r="G49" s="1212">
        <v>1807</v>
      </c>
      <c r="H49" s="712"/>
      <c r="I49" s="1221"/>
      <c r="J49" s="1212"/>
      <c r="K49" s="712"/>
      <c r="L49" s="1250"/>
      <c r="M49" s="1212">
        <v>398</v>
      </c>
      <c r="N49" s="712"/>
      <c r="O49" s="1221"/>
      <c r="P49" s="1212"/>
      <c r="Q49" s="712"/>
      <c r="R49" s="1250"/>
      <c r="S49" s="1212">
        <v>13167</v>
      </c>
      <c r="T49" s="712"/>
      <c r="U49" s="1221"/>
      <c r="V49" s="1227"/>
      <c r="W49" s="1208"/>
      <c r="X49" s="1260"/>
      <c r="Y49" s="1227"/>
      <c r="Z49" s="1208"/>
      <c r="AA49" s="1228"/>
      <c r="AB49" s="1227"/>
      <c r="AC49" s="1208"/>
      <c r="AD49" s="1260"/>
      <c r="AE49" s="1227"/>
      <c r="AF49" s="1208"/>
      <c r="AG49" s="1228"/>
      <c r="AH49" s="1227"/>
      <c r="AI49" s="1228"/>
      <c r="AJ49" s="1227"/>
      <c r="AK49" s="1228"/>
      <c r="AL49" s="1217">
        <f t="shared" si="2"/>
        <v>15372</v>
      </c>
      <c r="AM49" s="1204"/>
      <c r="AN49" s="1197"/>
      <c r="AO49" s="243"/>
      <c r="AP49" s="243"/>
    </row>
    <row r="50" spans="1:42" s="242" customFormat="1" ht="15" customHeight="1" x14ac:dyDescent="0.2">
      <c r="A50" s="1181"/>
      <c r="B50" s="1186">
        <f t="shared" si="1"/>
        <v>41</v>
      </c>
      <c r="C50" s="749" t="s">
        <v>1040</v>
      </c>
      <c r="D50" s="712"/>
      <c r="E50" s="712"/>
      <c r="F50" s="1250"/>
      <c r="G50" s="1212"/>
      <c r="H50" s="712"/>
      <c r="I50" s="1221"/>
      <c r="J50" s="1212"/>
      <c r="K50" s="712"/>
      <c r="L50" s="1250"/>
      <c r="M50" s="1212"/>
      <c r="N50" s="712"/>
      <c r="O50" s="1221"/>
      <c r="P50" s="1212"/>
      <c r="Q50" s="712"/>
      <c r="R50" s="1250"/>
      <c r="S50" s="1212"/>
      <c r="T50" s="712"/>
      <c r="U50" s="1221"/>
      <c r="V50" s="1212">
        <f>mc.pe.átad!D24</f>
        <v>5750</v>
      </c>
      <c r="W50" s="712"/>
      <c r="X50" s="1250"/>
      <c r="Y50" s="1212">
        <f>mc.pe.átad!E65</f>
        <v>45623</v>
      </c>
      <c r="Z50" s="712"/>
      <c r="AA50" s="1221"/>
      <c r="AB50" s="1212">
        <f>mc.pe.átad!D66</f>
        <v>116685</v>
      </c>
      <c r="AC50" s="712"/>
      <c r="AD50" s="1250"/>
      <c r="AE50" s="1212">
        <f>mc.pe.átad!E66</f>
        <v>170408</v>
      </c>
      <c r="AF50" s="712"/>
      <c r="AG50" s="1221"/>
      <c r="AH50" s="1212"/>
      <c r="AI50" s="1221"/>
      <c r="AJ50" s="1212"/>
      <c r="AK50" s="1221"/>
      <c r="AL50" s="1217">
        <f t="shared" si="2"/>
        <v>338466</v>
      </c>
      <c r="AM50" s="1197"/>
      <c r="AN50" s="1197"/>
      <c r="AO50" s="243"/>
      <c r="AP50" s="243"/>
    </row>
    <row r="51" spans="1:42" s="242" customFormat="1" ht="15" customHeight="1" x14ac:dyDescent="0.2">
      <c r="A51" s="1181"/>
      <c r="B51" s="1186">
        <f t="shared" si="1"/>
        <v>42</v>
      </c>
      <c r="C51" s="749" t="s">
        <v>1039</v>
      </c>
      <c r="D51" s="712"/>
      <c r="E51" s="712"/>
      <c r="F51" s="1250"/>
      <c r="G51" s="1212"/>
      <c r="H51" s="712"/>
      <c r="I51" s="1221"/>
      <c r="J51" s="1212"/>
      <c r="K51" s="712"/>
      <c r="L51" s="1250"/>
      <c r="M51" s="1212"/>
      <c r="N51" s="712"/>
      <c r="O51" s="1221"/>
      <c r="P51" s="1212">
        <v>3675</v>
      </c>
      <c r="Q51" s="712"/>
      <c r="R51" s="1250"/>
      <c r="S51" s="1212"/>
      <c r="T51" s="712"/>
      <c r="U51" s="1221"/>
      <c r="V51" s="1212"/>
      <c r="W51" s="712"/>
      <c r="X51" s="1250"/>
      <c r="Y51" s="1212"/>
      <c r="Z51" s="712"/>
      <c r="AA51" s="1221"/>
      <c r="AB51" s="1212"/>
      <c r="AC51" s="712"/>
      <c r="AD51" s="1250"/>
      <c r="AE51" s="1212"/>
      <c r="AF51" s="712"/>
      <c r="AG51" s="1221"/>
      <c r="AH51" s="1212"/>
      <c r="AI51" s="1221"/>
      <c r="AJ51" s="1212"/>
      <c r="AK51" s="1221"/>
      <c r="AL51" s="1217">
        <f t="shared" si="2"/>
        <v>3675</v>
      </c>
      <c r="AM51" s="711"/>
      <c r="AN51" s="1197"/>
      <c r="AO51" s="243"/>
      <c r="AP51" s="243"/>
    </row>
    <row r="52" spans="1:42" s="242" customFormat="1" ht="15" customHeight="1" x14ac:dyDescent="0.2">
      <c r="A52" s="1181"/>
      <c r="B52" s="1186">
        <f t="shared" si="1"/>
        <v>43</v>
      </c>
      <c r="C52" s="1209" t="s">
        <v>1062</v>
      </c>
      <c r="D52" s="1196"/>
      <c r="E52" s="1196"/>
      <c r="F52" s="1253"/>
      <c r="G52" s="1215"/>
      <c r="H52" s="1196"/>
      <c r="I52" s="1224"/>
      <c r="J52" s="1215"/>
      <c r="K52" s="1196"/>
      <c r="L52" s="1253"/>
      <c r="M52" s="1215"/>
      <c r="N52" s="1196"/>
      <c r="O52" s="1224"/>
      <c r="P52" s="1215"/>
      <c r="Q52" s="1196"/>
      <c r="R52" s="1253"/>
      <c r="S52" s="1215">
        <f>2515+1134</f>
        <v>3649</v>
      </c>
      <c r="T52" s="1196"/>
      <c r="U52" s="1224"/>
      <c r="V52" s="1215"/>
      <c r="W52" s="1196"/>
      <c r="X52" s="1253"/>
      <c r="Y52" s="1215"/>
      <c r="Z52" s="1196"/>
      <c r="AA52" s="1224"/>
      <c r="AB52" s="1215"/>
      <c r="AC52" s="1196"/>
      <c r="AD52" s="1253"/>
      <c r="AE52" s="1215"/>
      <c r="AF52" s="1196"/>
      <c r="AG52" s="1224"/>
      <c r="AH52" s="1215"/>
      <c r="AI52" s="1224"/>
      <c r="AJ52" s="1215"/>
      <c r="AK52" s="1224"/>
      <c r="AL52" s="1232">
        <f t="shared" si="2"/>
        <v>3649</v>
      </c>
      <c r="AM52" s="711"/>
      <c r="AN52" s="1197"/>
      <c r="AO52" s="243"/>
      <c r="AP52" s="243"/>
    </row>
    <row r="53" spans="1:42" s="242" customFormat="1" ht="15" customHeight="1" x14ac:dyDescent="0.2">
      <c r="A53" s="1181"/>
      <c r="B53" s="1186">
        <f t="shared" si="1"/>
        <v>44</v>
      </c>
      <c r="C53" s="1209" t="s">
        <v>1063</v>
      </c>
      <c r="D53" s="1196"/>
      <c r="E53" s="1196"/>
      <c r="F53" s="1253"/>
      <c r="G53" s="1215"/>
      <c r="H53" s="1196"/>
      <c r="I53" s="1224"/>
      <c r="J53" s="1215"/>
      <c r="K53" s="1196"/>
      <c r="L53" s="1253"/>
      <c r="M53" s="1215"/>
      <c r="N53" s="1196"/>
      <c r="O53" s="1224"/>
      <c r="P53" s="1215"/>
      <c r="Q53" s="1196"/>
      <c r="R53" s="1253"/>
      <c r="S53" s="1215"/>
      <c r="T53" s="1196"/>
      <c r="U53" s="1224"/>
      <c r="V53" s="1215"/>
      <c r="W53" s="1196"/>
      <c r="X53" s="1253"/>
      <c r="Y53" s="1215"/>
      <c r="Z53" s="1196"/>
      <c r="AA53" s="1224"/>
      <c r="AB53" s="1215"/>
      <c r="AC53" s="1196"/>
      <c r="AD53" s="1253"/>
      <c r="AE53" s="1215"/>
      <c r="AF53" s="1196"/>
      <c r="AG53" s="1224"/>
      <c r="AH53" s="1215">
        <v>367</v>
      </c>
      <c r="AI53" s="1224"/>
      <c r="AJ53" s="1215"/>
      <c r="AK53" s="1224"/>
      <c r="AL53" s="1232">
        <f t="shared" si="2"/>
        <v>367</v>
      </c>
      <c r="AM53" s="711"/>
      <c r="AN53" s="1197"/>
      <c r="AO53" s="243"/>
      <c r="AP53" s="243"/>
    </row>
    <row r="54" spans="1:42" s="242" customFormat="1" ht="15" customHeight="1" x14ac:dyDescent="0.2">
      <c r="A54" s="1181"/>
      <c r="B54" s="1186">
        <f t="shared" si="1"/>
        <v>45</v>
      </c>
      <c r="C54" s="1209" t="s">
        <v>1064</v>
      </c>
      <c r="D54" s="1196"/>
      <c r="E54" s="1196"/>
      <c r="F54" s="1253"/>
      <c r="G54" s="1215"/>
      <c r="H54" s="1196"/>
      <c r="I54" s="1224"/>
      <c r="J54" s="1215"/>
      <c r="K54" s="1196"/>
      <c r="L54" s="1253"/>
      <c r="M54" s="1215"/>
      <c r="N54" s="1196"/>
      <c r="O54" s="1224"/>
      <c r="P54" s="1215">
        <v>295</v>
      </c>
      <c r="Q54" s="1196"/>
      <c r="R54" s="1253"/>
      <c r="S54" s="1215"/>
      <c r="T54" s="1196"/>
      <c r="U54" s="1224"/>
      <c r="V54" s="1215"/>
      <c r="W54" s="1196"/>
      <c r="X54" s="1253"/>
      <c r="Y54" s="1215"/>
      <c r="Z54" s="1196"/>
      <c r="AA54" s="1224"/>
      <c r="AB54" s="1215"/>
      <c r="AC54" s="1196"/>
      <c r="AD54" s="1253"/>
      <c r="AE54" s="1215"/>
      <c r="AF54" s="1196"/>
      <c r="AG54" s="1224"/>
      <c r="AH54" s="1215"/>
      <c r="AI54" s="1224"/>
      <c r="AJ54" s="1215"/>
      <c r="AK54" s="1224"/>
      <c r="AL54" s="1232">
        <f t="shared" si="2"/>
        <v>295</v>
      </c>
      <c r="AM54" s="711"/>
      <c r="AN54" s="1197"/>
      <c r="AO54" s="243"/>
      <c r="AP54" s="243"/>
    </row>
    <row r="55" spans="1:42" s="242" customFormat="1" ht="15" customHeight="1" x14ac:dyDescent="0.2">
      <c r="A55" s="1181"/>
      <c r="B55" s="1186">
        <f t="shared" si="1"/>
        <v>46</v>
      </c>
      <c r="C55" s="1209" t="s">
        <v>1065</v>
      </c>
      <c r="D55" s="1196"/>
      <c r="E55" s="1196"/>
      <c r="F55" s="1253"/>
      <c r="G55" s="1215">
        <f>301+64</f>
        <v>365</v>
      </c>
      <c r="H55" s="1196"/>
      <c r="I55" s="1224"/>
      <c r="J55" s="1215"/>
      <c r="K55" s="1196"/>
      <c r="L55" s="1253"/>
      <c r="M55" s="1215">
        <f>28+13</f>
        <v>41</v>
      </c>
      <c r="N55" s="1196"/>
      <c r="O55" s="1224"/>
      <c r="P55" s="1215"/>
      <c r="Q55" s="1196"/>
      <c r="R55" s="1253"/>
      <c r="S55" s="1215">
        <f>1782+3</f>
        <v>1785</v>
      </c>
      <c r="T55" s="1196"/>
      <c r="U55" s="1224"/>
      <c r="V55" s="1215"/>
      <c r="W55" s="1196"/>
      <c r="X55" s="1253"/>
      <c r="Y55" s="1215"/>
      <c r="Z55" s="1196"/>
      <c r="AA55" s="1224"/>
      <c r="AB55" s="1215"/>
      <c r="AC55" s="1196"/>
      <c r="AD55" s="1253"/>
      <c r="AE55" s="1215"/>
      <c r="AF55" s="1196"/>
      <c r="AG55" s="1224"/>
      <c r="AH55" s="1215"/>
      <c r="AI55" s="1224"/>
      <c r="AJ55" s="1215"/>
      <c r="AK55" s="1224"/>
      <c r="AL55" s="1232">
        <f t="shared" si="2"/>
        <v>2191</v>
      </c>
      <c r="AM55" s="711"/>
      <c r="AN55" s="1197"/>
      <c r="AO55" s="243"/>
      <c r="AP55" s="243"/>
    </row>
    <row r="56" spans="1:42" s="242" customFormat="1" ht="15" customHeight="1" x14ac:dyDescent="0.2">
      <c r="A56" s="1181"/>
      <c r="B56" s="1186">
        <f t="shared" si="1"/>
        <v>47</v>
      </c>
      <c r="C56" s="1209" t="s">
        <v>1066</v>
      </c>
      <c r="D56" s="1196">
        <v>4766</v>
      </c>
      <c r="E56" s="1196"/>
      <c r="F56" s="1253"/>
      <c r="G56" s="1215"/>
      <c r="H56" s="1196"/>
      <c r="I56" s="1224"/>
      <c r="J56" s="1215">
        <v>1748</v>
      </c>
      <c r="K56" s="1196"/>
      <c r="L56" s="1253"/>
      <c r="M56" s="1215"/>
      <c r="N56" s="1196"/>
      <c r="O56" s="1224"/>
      <c r="P56" s="1215">
        <f>13917-1221</f>
        <v>12696</v>
      </c>
      <c r="Q56" s="1196"/>
      <c r="R56" s="1253"/>
      <c r="S56" s="1215"/>
      <c r="T56" s="1196"/>
      <c r="U56" s="1224"/>
      <c r="V56" s="1215"/>
      <c r="W56" s="1196"/>
      <c r="X56" s="1253"/>
      <c r="Y56" s="1215"/>
      <c r="Z56" s="1196"/>
      <c r="AA56" s="1224"/>
      <c r="AB56" s="1215"/>
      <c r="AC56" s="1196"/>
      <c r="AD56" s="1253"/>
      <c r="AE56" s="1215"/>
      <c r="AF56" s="1196"/>
      <c r="AG56" s="1224"/>
      <c r="AH56" s="1215"/>
      <c r="AI56" s="1224"/>
      <c r="AJ56" s="1215"/>
      <c r="AK56" s="1224"/>
      <c r="AL56" s="1232">
        <f t="shared" si="2"/>
        <v>19210</v>
      </c>
      <c r="AM56" s="711"/>
      <c r="AN56" s="1197"/>
      <c r="AO56" s="243"/>
      <c r="AP56" s="243"/>
    </row>
    <row r="57" spans="1:42" s="242" customFormat="1" ht="15" customHeight="1" x14ac:dyDescent="0.2">
      <c r="A57" s="1181"/>
      <c r="B57" s="1186">
        <f t="shared" si="1"/>
        <v>48</v>
      </c>
      <c r="C57" s="1209" t="s">
        <v>1068</v>
      </c>
      <c r="D57" s="1196"/>
      <c r="E57" s="1196"/>
      <c r="F57" s="1253"/>
      <c r="G57" s="1215"/>
      <c r="H57" s="1196"/>
      <c r="I57" s="1224"/>
      <c r="J57" s="1215"/>
      <c r="K57" s="1196"/>
      <c r="L57" s="1253"/>
      <c r="M57" s="1215"/>
      <c r="N57" s="1196"/>
      <c r="O57" s="1224"/>
      <c r="P57" s="1215">
        <v>15347</v>
      </c>
      <c r="Q57" s="1196"/>
      <c r="R57" s="1253"/>
      <c r="S57" s="1215"/>
      <c r="T57" s="1196"/>
      <c r="U57" s="1224"/>
      <c r="V57" s="1215"/>
      <c r="W57" s="1196"/>
      <c r="X57" s="1253"/>
      <c r="Y57" s="1215"/>
      <c r="Z57" s="1196"/>
      <c r="AA57" s="1224"/>
      <c r="AB57" s="1215"/>
      <c r="AC57" s="1196"/>
      <c r="AD57" s="1253"/>
      <c r="AE57" s="1215"/>
      <c r="AF57" s="1196"/>
      <c r="AG57" s="1224"/>
      <c r="AH57" s="1215"/>
      <c r="AI57" s="1224"/>
      <c r="AJ57" s="1215"/>
      <c r="AK57" s="1224"/>
      <c r="AL57" s="1232">
        <f t="shared" si="2"/>
        <v>15347</v>
      </c>
      <c r="AM57" s="711"/>
      <c r="AN57" s="1197"/>
      <c r="AO57" s="243"/>
      <c r="AP57" s="243"/>
    </row>
    <row r="58" spans="1:42" s="242" customFormat="1" ht="15" customHeight="1" x14ac:dyDescent="0.2">
      <c r="A58" s="1181"/>
      <c r="B58" s="1186">
        <f t="shared" si="1"/>
        <v>49</v>
      </c>
      <c r="C58" s="1209" t="s">
        <v>1069</v>
      </c>
      <c r="D58" s="1196">
        <v>10</v>
      </c>
      <c r="E58" s="1196"/>
      <c r="F58" s="1253"/>
      <c r="G58" s="1215"/>
      <c r="H58" s="1196"/>
      <c r="I58" s="1224"/>
      <c r="J58" s="1215"/>
      <c r="K58" s="1196"/>
      <c r="L58" s="1253"/>
      <c r="M58" s="1215"/>
      <c r="N58" s="1196"/>
      <c r="O58" s="1224"/>
      <c r="P58" s="1215">
        <v>15357</v>
      </c>
      <c r="Q58" s="1196"/>
      <c r="R58" s="1253"/>
      <c r="S58" s="1215"/>
      <c r="T58" s="1196"/>
      <c r="U58" s="1224"/>
      <c r="V58" s="1215"/>
      <c r="W58" s="1196"/>
      <c r="X58" s="1253"/>
      <c r="Y58" s="1215"/>
      <c r="Z58" s="1196"/>
      <c r="AA58" s="1224"/>
      <c r="AB58" s="1215"/>
      <c r="AC58" s="1196"/>
      <c r="AD58" s="1253"/>
      <c r="AE58" s="1215"/>
      <c r="AF58" s="1196"/>
      <c r="AG58" s="1224"/>
      <c r="AH58" s="1215"/>
      <c r="AI58" s="1224"/>
      <c r="AJ58" s="1215"/>
      <c r="AK58" s="1224"/>
      <c r="AL58" s="1232">
        <f t="shared" si="2"/>
        <v>15367</v>
      </c>
      <c r="AM58" s="711"/>
      <c r="AN58" s="1197"/>
      <c r="AO58" s="243"/>
      <c r="AP58" s="243"/>
    </row>
    <row r="59" spans="1:42" s="242" customFormat="1" ht="15" customHeight="1" x14ac:dyDescent="0.2">
      <c r="A59" s="1181"/>
      <c r="B59" s="1186">
        <f t="shared" si="1"/>
        <v>50</v>
      </c>
      <c r="C59" s="1209" t="s">
        <v>1070</v>
      </c>
      <c r="D59" s="1196"/>
      <c r="E59" s="1196"/>
      <c r="F59" s="1253"/>
      <c r="G59" s="1215">
        <f>14017-50+2+59</f>
        <v>14028</v>
      </c>
      <c r="H59" s="1196"/>
      <c r="I59" s="1224"/>
      <c r="J59" s="1215"/>
      <c r="K59" s="1196"/>
      <c r="L59" s="1253"/>
      <c r="M59" s="1215">
        <f>2843-22+1+11</f>
        <v>2833</v>
      </c>
      <c r="N59" s="1196"/>
      <c r="O59" s="1224"/>
      <c r="P59" s="1215">
        <v>17522</v>
      </c>
      <c r="Q59" s="1196"/>
      <c r="R59" s="1253"/>
      <c r="S59" s="1215">
        <v>76287</v>
      </c>
      <c r="T59" s="1196"/>
      <c r="U59" s="1224"/>
      <c r="V59" s="1215"/>
      <c r="W59" s="1196"/>
      <c r="X59" s="1253"/>
      <c r="Y59" s="1215"/>
      <c r="Z59" s="1196"/>
      <c r="AA59" s="1224"/>
      <c r="AB59" s="1215"/>
      <c r="AC59" s="1196"/>
      <c r="AD59" s="1253"/>
      <c r="AE59" s="1215"/>
      <c r="AF59" s="1196"/>
      <c r="AG59" s="1224"/>
      <c r="AH59" s="1215">
        <v>84</v>
      </c>
      <c r="AI59" s="1224"/>
      <c r="AJ59" s="1215"/>
      <c r="AK59" s="1224"/>
      <c r="AL59" s="1232">
        <f t="shared" si="2"/>
        <v>110754</v>
      </c>
      <c r="AM59" s="711"/>
      <c r="AN59" s="1197"/>
      <c r="AO59" s="243"/>
      <c r="AP59" s="243"/>
    </row>
    <row r="60" spans="1:42" s="242" customFormat="1" ht="21.75" customHeight="1" x14ac:dyDescent="0.2">
      <c r="A60" s="1181"/>
      <c r="B60" s="1186">
        <f t="shared" si="1"/>
        <v>51</v>
      </c>
      <c r="C60" s="1209" t="s">
        <v>1255</v>
      </c>
      <c r="D60" s="1196"/>
      <c r="E60" s="1196"/>
      <c r="F60" s="1253"/>
      <c r="G60" s="1215"/>
      <c r="H60" s="1196"/>
      <c r="I60" s="1224"/>
      <c r="J60" s="1215"/>
      <c r="K60" s="1196"/>
      <c r="L60" s="1253"/>
      <c r="M60" s="1215"/>
      <c r="N60" s="1196"/>
      <c r="O60" s="1224"/>
      <c r="P60" s="1215">
        <v>294</v>
      </c>
      <c r="Q60" s="1196"/>
      <c r="R60" s="1253"/>
      <c r="S60" s="1215"/>
      <c r="T60" s="1196"/>
      <c r="U60" s="1224"/>
      <c r="V60" s="1215"/>
      <c r="W60" s="1196"/>
      <c r="X60" s="1253"/>
      <c r="Y60" s="1215"/>
      <c r="Z60" s="1196"/>
      <c r="AA60" s="1224"/>
      <c r="AB60" s="1215"/>
      <c r="AC60" s="1196"/>
      <c r="AD60" s="1253"/>
      <c r="AE60" s="1215"/>
      <c r="AF60" s="1196"/>
      <c r="AG60" s="1224"/>
      <c r="AH60" s="1215"/>
      <c r="AI60" s="1224"/>
      <c r="AJ60" s="1215"/>
      <c r="AK60" s="1224"/>
      <c r="AL60" s="1232">
        <f t="shared" si="2"/>
        <v>294</v>
      </c>
      <c r="AM60" s="711"/>
      <c r="AN60" s="1197"/>
      <c r="AO60" s="243"/>
      <c r="AP60" s="243"/>
    </row>
    <row r="61" spans="1:42" s="242" customFormat="1" ht="15" customHeight="1" x14ac:dyDescent="0.2">
      <c r="A61" s="1181"/>
      <c r="B61" s="1186">
        <f t="shared" si="1"/>
        <v>52</v>
      </c>
      <c r="C61" s="1209" t="s">
        <v>1256</v>
      </c>
      <c r="D61" s="1196"/>
      <c r="E61" s="1196"/>
      <c r="F61" s="1253"/>
      <c r="G61" s="1215"/>
      <c r="H61" s="1196"/>
      <c r="I61" s="1224"/>
      <c r="J61" s="1215"/>
      <c r="K61" s="1196"/>
      <c r="L61" s="1253"/>
      <c r="M61" s="1215"/>
      <c r="N61" s="1196"/>
      <c r="O61" s="1224"/>
      <c r="P61" s="1215"/>
      <c r="Q61" s="1196"/>
      <c r="R61" s="1253"/>
      <c r="S61" s="1215">
        <v>2</v>
      </c>
      <c r="T61" s="1196"/>
      <c r="U61" s="1224"/>
      <c r="V61" s="1215"/>
      <c r="W61" s="1196"/>
      <c r="X61" s="1253"/>
      <c r="Y61" s="1215"/>
      <c r="Z61" s="1196"/>
      <c r="AA61" s="1224"/>
      <c r="AB61" s="1215"/>
      <c r="AC61" s="1196"/>
      <c r="AD61" s="1253"/>
      <c r="AE61" s="1215"/>
      <c r="AF61" s="1196"/>
      <c r="AG61" s="1224"/>
      <c r="AH61" s="1215"/>
      <c r="AI61" s="1224"/>
      <c r="AJ61" s="1215"/>
      <c r="AK61" s="1224"/>
      <c r="AL61" s="1232">
        <f t="shared" si="2"/>
        <v>2</v>
      </c>
      <c r="AM61" s="711"/>
      <c r="AN61" s="1197"/>
      <c r="AO61" s="243"/>
      <c r="AP61" s="243"/>
    </row>
    <row r="62" spans="1:42" s="242" customFormat="1" ht="15" customHeight="1" x14ac:dyDescent="0.2">
      <c r="A62" s="1181"/>
      <c r="B62" s="1186">
        <f t="shared" si="1"/>
        <v>53</v>
      </c>
      <c r="C62" s="1209" t="s">
        <v>1257</v>
      </c>
      <c r="D62" s="1196"/>
      <c r="E62" s="1196"/>
      <c r="F62" s="1253"/>
      <c r="G62" s="1215"/>
      <c r="H62" s="1196"/>
      <c r="I62" s="1224"/>
      <c r="J62" s="1215"/>
      <c r="K62" s="1196"/>
      <c r="L62" s="1253"/>
      <c r="M62" s="1215"/>
      <c r="N62" s="1196"/>
      <c r="O62" s="1224"/>
      <c r="P62" s="1215"/>
      <c r="Q62" s="1196"/>
      <c r="R62" s="1253"/>
      <c r="S62" s="1215">
        <v>2450</v>
      </c>
      <c r="T62" s="1196"/>
      <c r="U62" s="1224"/>
      <c r="V62" s="1215"/>
      <c r="W62" s="1196"/>
      <c r="X62" s="1253"/>
      <c r="Y62" s="1215"/>
      <c r="Z62" s="1196"/>
      <c r="AA62" s="1224"/>
      <c r="AB62" s="1215"/>
      <c r="AC62" s="1196"/>
      <c r="AD62" s="1253"/>
      <c r="AE62" s="1215"/>
      <c r="AF62" s="1196"/>
      <c r="AG62" s="1224"/>
      <c r="AH62" s="1215"/>
      <c r="AI62" s="1224"/>
      <c r="AJ62" s="1215"/>
      <c r="AK62" s="1224"/>
      <c r="AL62" s="1232">
        <f t="shared" si="2"/>
        <v>2450</v>
      </c>
      <c r="AM62" s="711"/>
      <c r="AN62" s="1197"/>
      <c r="AO62" s="243"/>
      <c r="AP62" s="243"/>
    </row>
    <row r="63" spans="1:42" s="242" customFormat="1" ht="15" customHeight="1" x14ac:dyDescent="0.2">
      <c r="A63" s="1181"/>
      <c r="B63" s="1186"/>
      <c r="C63" s="1209"/>
      <c r="D63" s="1196"/>
      <c r="E63" s="1196"/>
      <c r="F63" s="1253"/>
      <c r="G63" s="1215"/>
      <c r="H63" s="1196"/>
      <c r="I63" s="1224"/>
      <c r="J63" s="1215"/>
      <c r="K63" s="1196"/>
      <c r="L63" s="1253"/>
      <c r="M63" s="1215"/>
      <c r="N63" s="1196"/>
      <c r="O63" s="1224"/>
      <c r="P63" s="1215"/>
      <c r="Q63" s="1196"/>
      <c r="R63" s="1253"/>
      <c r="S63" s="1215"/>
      <c r="T63" s="1196"/>
      <c r="U63" s="1224"/>
      <c r="V63" s="1215"/>
      <c r="W63" s="1196"/>
      <c r="X63" s="1253"/>
      <c r="Y63" s="1215"/>
      <c r="Z63" s="1196"/>
      <c r="AA63" s="1224"/>
      <c r="AB63" s="1215"/>
      <c r="AC63" s="1196"/>
      <c r="AD63" s="1253"/>
      <c r="AE63" s="1215"/>
      <c r="AF63" s="1196"/>
      <c r="AG63" s="1224"/>
      <c r="AH63" s="1215"/>
      <c r="AI63" s="1224"/>
      <c r="AJ63" s="1215"/>
      <c r="AK63" s="1224"/>
      <c r="AL63" s="1232"/>
      <c r="AM63" s="711"/>
      <c r="AN63" s="1197"/>
      <c r="AO63" s="243"/>
      <c r="AP63" s="243"/>
    </row>
    <row r="64" spans="1:42" s="242" customFormat="1" ht="15" customHeight="1" x14ac:dyDescent="0.2">
      <c r="A64" s="1181"/>
      <c r="B64" s="1186"/>
      <c r="C64" s="1209"/>
      <c r="D64" s="1196"/>
      <c r="E64" s="1196"/>
      <c r="F64" s="1253"/>
      <c r="G64" s="1215"/>
      <c r="H64" s="1196"/>
      <c r="I64" s="1224"/>
      <c r="J64" s="1215"/>
      <c r="K64" s="1196"/>
      <c r="L64" s="1253"/>
      <c r="M64" s="1215"/>
      <c r="N64" s="1196"/>
      <c r="O64" s="1224"/>
      <c r="P64" s="1215"/>
      <c r="Q64" s="1196"/>
      <c r="R64" s="1253"/>
      <c r="S64" s="1215"/>
      <c r="T64" s="1196"/>
      <c r="U64" s="1224"/>
      <c r="V64" s="1215"/>
      <c r="W64" s="1196"/>
      <c r="X64" s="1253"/>
      <c r="Y64" s="1215"/>
      <c r="Z64" s="1196"/>
      <c r="AA64" s="1224"/>
      <c r="AB64" s="1215"/>
      <c r="AC64" s="1196"/>
      <c r="AD64" s="1253"/>
      <c r="AE64" s="1215"/>
      <c r="AF64" s="1196"/>
      <c r="AG64" s="1224"/>
      <c r="AH64" s="1215"/>
      <c r="AI64" s="1224"/>
      <c r="AJ64" s="1215"/>
      <c r="AK64" s="1224"/>
      <c r="AL64" s="1232"/>
      <c r="AM64" s="711"/>
      <c r="AN64" s="1197"/>
      <c r="AO64" s="243"/>
      <c r="AP64" s="243"/>
    </row>
    <row r="65" spans="1:42" s="242" customFormat="1" ht="15" customHeight="1" thickBot="1" x14ac:dyDescent="0.25">
      <c r="A65" s="1181"/>
      <c r="B65" s="1236"/>
      <c r="C65" s="1237"/>
      <c r="D65" s="1238"/>
      <c r="E65" s="1238"/>
      <c r="F65" s="1256"/>
      <c r="G65" s="1240"/>
      <c r="H65" s="1238"/>
      <c r="I65" s="1239"/>
      <c r="J65" s="1240"/>
      <c r="K65" s="1238"/>
      <c r="L65" s="1256"/>
      <c r="M65" s="1240"/>
      <c r="N65" s="1238"/>
      <c r="O65" s="1239"/>
      <c r="P65" s="1240"/>
      <c r="Q65" s="1238"/>
      <c r="R65" s="1256"/>
      <c r="S65" s="1240"/>
      <c r="T65" s="1238"/>
      <c r="U65" s="1239"/>
      <c r="V65" s="1240"/>
      <c r="W65" s="1238"/>
      <c r="X65" s="1256"/>
      <c r="Y65" s="1240"/>
      <c r="Z65" s="1238"/>
      <c r="AA65" s="1239"/>
      <c r="AB65" s="1240"/>
      <c r="AC65" s="1238"/>
      <c r="AD65" s="1256"/>
      <c r="AE65" s="1240"/>
      <c r="AF65" s="1238"/>
      <c r="AG65" s="1239"/>
      <c r="AH65" s="1240"/>
      <c r="AI65" s="1239"/>
      <c r="AJ65" s="1240"/>
      <c r="AK65" s="1239"/>
      <c r="AL65" s="1241"/>
      <c r="AM65" s="1242"/>
      <c r="AN65" s="1243"/>
      <c r="AO65" s="243"/>
      <c r="AP65" s="243"/>
    </row>
    <row r="66" spans="1:42" ht="15.6" customHeight="1" thickBot="1" x14ac:dyDescent="0.25">
      <c r="B66" s="1605" t="s">
        <v>631</v>
      </c>
      <c r="C66" s="1606"/>
      <c r="D66" s="218">
        <f>SUM(D10:D62)</f>
        <v>60378</v>
      </c>
      <c r="E66" s="218"/>
      <c r="F66" s="1257"/>
      <c r="G66" s="358">
        <f t="shared" ref="G66:AL66" si="3">SUM(G10:G62)</f>
        <v>47841</v>
      </c>
      <c r="H66" s="218"/>
      <c r="I66" s="231"/>
      <c r="J66" s="358">
        <f t="shared" si="3"/>
        <v>18106</v>
      </c>
      <c r="K66" s="218"/>
      <c r="L66" s="1257"/>
      <c r="M66" s="358">
        <f t="shared" si="3"/>
        <v>16376.32</v>
      </c>
      <c r="N66" s="218"/>
      <c r="O66" s="231"/>
      <c r="P66" s="358">
        <f t="shared" si="3"/>
        <v>280679</v>
      </c>
      <c r="Q66" s="218"/>
      <c r="R66" s="1257"/>
      <c r="S66" s="358">
        <f t="shared" si="3"/>
        <v>182582</v>
      </c>
      <c r="T66" s="218"/>
      <c r="U66" s="231"/>
      <c r="V66" s="358">
        <f t="shared" si="3"/>
        <v>5750</v>
      </c>
      <c r="W66" s="218"/>
      <c r="X66" s="1257"/>
      <c r="Y66" s="358">
        <f t="shared" si="3"/>
        <v>45623</v>
      </c>
      <c r="Z66" s="218"/>
      <c r="AA66" s="231"/>
      <c r="AB66" s="358">
        <f t="shared" si="3"/>
        <v>116685</v>
      </c>
      <c r="AC66" s="218"/>
      <c r="AD66" s="1257"/>
      <c r="AE66" s="358">
        <f t="shared" si="3"/>
        <v>170408</v>
      </c>
      <c r="AF66" s="218"/>
      <c r="AG66" s="231"/>
      <c r="AH66" s="358">
        <f t="shared" si="3"/>
        <v>451</v>
      </c>
      <c r="AI66" s="231">
        <f t="shared" si="3"/>
        <v>0</v>
      </c>
      <c r="AJ66" s="358">
        <f t="shared" si="3"/>
        <v>2800</v>
      </c>
      <c r="AK66" s="231">
        <f t="shared" si="3"/>
        <v>10950</v>
      </c>
      <c r="AL66" s="358">
        <f t="shared" si="3"/>
        <v>958629.32000000007</v>
      </c>
      <c r="AM66" s="1244"/>
      <c r="AN66" s="1245"/>
    </row>
    <row r="67" spans="1:42" x14ac:dyDescent="0.2">
      <c r="AM67" s="250"/>
    </row>
    <row r="71" spans="1:42" x14ac:dyDescent="0.2">
      <c r="AM71" s="247"/>
    </row>
    <row r="72" spans="1:42" x14ac:dyDescent="0.2">
      <c r="AM72" s="247"/>
    </row>
    <row r="76" spans="1:42" x14ac:dyDescent="0.2">
      <c r="AB76" s="246"/>
      <c r="AC76" s="246"/>
      <c r="AD76" s="246"/>
    </row>
  </sheetData>
  <sheetProtection selectLockedCells="1" selectUnlockedCells="1"/>
  <mergeCells count="24">
    <mergeCell ref="B66:C66"/>
    <mergeCell ref="AH5:AI5"/>
    <mergeCell ref="D7:I8"/>
    <mergeCell ref="D5:I5"/>
    <mergeCell ref="J7:O8"/>
    <mergeCell ref="P7:U8"/>
    <mergeCell ref="AB5:AG5"/>
    <mergeCell ref="V5:AA5"/>
    <mergeCell ref="P5:U5"/>
    <mergeCell ref="J5:O5"/>
    <mergeCell ref="AL5:AN5"/>
    <mergeCell ref="D6:AN6"/>
    <mergeCell ref="AJ5:AK5"/>
    <mergeCell ref="B1:AL1"/>
    <mergeCell ref="B2:AL2"/>
    <mergeCell ref="B3:AL3"/>
    <mergeCell ref="B5:B9"/>
    <mergeCell ref="AH7:AI8"/>
    <mergeCell ref="C4:AL4"/>
    <mergeCell ref="AJ7:AK8"/>
    <mergeCell ref="V7:AA8"/>
    <mergeCell ref="AB7:AG8"/>
    <mergeCell ref="AL7:AN8"/>
    <mergeCell ref="C7:C9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81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9" customWidth="1"/>
    <col min="2" max="3" width="3.5703125" style="17" customWidth="1"/>
    <col min="4" max="4" width="41.5703125" style="22" customWidth="1"/>
    <col min="5" max="5" width="12.28515625" style="17" customWidth="1"/>
    <col min="6" max="6" width="11" style="17" customWidth="1"/>
    <col min="7" max="7" width="14" style="17" customWidth="1"/>
    <col min="8" max="9" width="0" style="213" hidden="1" customWidth="1"/>
    <col min="10" max="10" width="9.42578125" style="29" hidden="1" customWidth="1"/>
    <col min="11" max="16384" width="9.140625" style="29"/>
  </cols>
  <sheetData>
    <row r="1" spans="2:11" ht="18" customHeight="1" x14ac:dyDescent="0.25">
      <c r="B1" s="1510" t="s">
        <v>1268</v>
      </c>
      <c r="C1" s="1510"/>
      <c r="D1" s="1510"/>
      <c r="E1" s="1510"/>
      <c r="F1" s="1510"/>
      <c r="G1" s="1510"/>
      <c r="H1" s="1453"/>
      <c r="I1" s="1453"/>
      <c r="J1" s="1453"/>
    </row>
    <row r="3" spans="2:11" ht="15.75" customHeight="1" x14ac:dyDescent="0.25">
      <c r="B3" s="1512" t="s">
        <v>78</v>
      </c>
      <c r="C3" s="1512"/>
      <c r="D3" s="1512"/>
      <c r="E3" s="1512"/>
      <c r="F3" s="1512"/>
      <c r="G3" s="1512"/>
      <c r="H3" s="1453"/>
      <c r="I3" s="1453"/>
      <c r="J3" s="1453"/>
    </row>
    <row r="4" spans="2:11" ht="15.75" customHeight="1" x14ac:dyDescent="0.25">
      <c r="B4" s="1618" t="s">
        <v>1121</v>
      </c>
      <c r="C4" s="1619"/>
      <c r="D4" s="1619"/>
      <c r="E4" s="1619"/>
      <c r="F4" s="1619"/>
      <c r="G4" s="1619"/>
    </row>
    <row r="5" spans="2:11" ht="15.75" customHeight="1" x14ac:dyDescent="0.25">
      <c r="B5" s="1512" t="s">
        <v>972</v>
      </c>
      <c r="C5" s="1512"/>
      <c r="D5" s="1512"/>
      <c r="E5" s="1512"/>
      <c r="F5" s="1512"/>
      <c r="G5" s="1512"/>
      <c r="H5" s="1453"/>
      <c r="I5" s="1453"/>
      <c r="J5" s="1453"/>
    </row>
    <row r="6" spans="2:11" s="31" customFormat="1" ht="14.25" customHeight="1" x14ac:dyDescent="0.25">
      <c r="B6" s="1611" t="s">
        <v>335</v>
      </c>
      <c r="C6" s="1611"/>
      <c r="D6" s="1611"/>
      <c r="E6" s="1611"/>
      <c r="F6" s="1611"/>
      <c r="G6" s="1611"/>
      <c r="H6" s="1453"/>
      <c r="I6" s="1453"/>
      <c r="J6" s="1453"/>
    </row>
    <row r="7" spans="2:11" s="31" customFormat="1" ht="14.25" customHeight="1" x14ac:dyDescent="0.25">
      <c r="B7" s="26"/>
      <c r="C7" s="164"/>
      <c r="D7" s="165"/>
      <c r="E7" s="26"/>
      <c r="F7" s="26"/>
      <c r="G7" s="26"/>
    </row>
    <row r="8" spans="2:11" ht="30.6" customHeight="1" x14ac:dyDescent="0.25">
      <c r="B8" s="1612" t="s">
        <v>497</v>
      </c>
      <c r="C8" s="1614" t="s">
        <v>57</v>
      </c>
      <c r="D8" s="1614"/>
      <c r="E8" s="20" t="s">
        <v>58</v>
      </c>
      <c r="F8" s="20" t="s">
        <v>59</v>
      </c>
      <c r="G8" s="20" t="s">
        <v>60</v>
      </c>
      <c r="H8" s="29"/>
      <c r="I8" s="29"/>
    </row>
    <row r="9" spans="2:11" ht="30" customHeight="1" x14ac:dyDescent="0.25">
      <c r="B9" s="1613"/>
      <c r="C9" s="1615" t="s">
        <v>562</v>
      </c>
      <c r="D9" s="1615"/>
      <c r="E9" s="1617" t="s">
        <v>1183</v>
      </c>
      <c r="F9" s="1617"/>
      <c r="G9" s="1617"/>
      <c r="H9" s="29"/>
      <c r="I9" s="29"/>
    </row>
    <row r="10" spans="2:11" ht="52.9" customHeight="1" x14ac:dyDescent="0.25">
      <c r="B10" s="1613"/>
      <c r="C10" s="1615"/>
      <c r="D10" s="1616"/>
      <c r="E10" s="166" t="s">
        <v>62</v>
      </c>
      <c r="F10" s="166" t="s">
        <v>63</v>
      </c>
      <c r="G10" s="166" t="s">
        <v>64</v>
      </c>
      <c r="H10" s="29"/>
      <c r="I10" s="29"/>
    </row>
    <row r="11" spans="2:11" ht="23.25" customHeight="1" x14ac:dyDescent="0.25">
      <c r="B11" s="638" t="s">
        <v>507</v>
      </c>
      <c r="C11" s="1610" t="s">
        <v>632</v>
      </c>
      <c r="D11" s="1610"/>
      <c r="E11" s="167"/>
      <c r="F11" s="167"/>
      <c r="G11" s="167"/>
      <c r="H11" s="29"/>
      <c r="I11" s="29"/>
      <c r="K11" s="429"/>
    </row>
    <row r="12" spans="2:11" ht="18" customHeight="1" x14ac:dyDescent="0.25">
      <c r="B12" s="639" t="s">
        <v>515</v>
      </c>
      <c r="C12" s="168" t="s">
        <v>596</v>
      </c>
      <c r="D12" s="165"/>
      <c r="E12" s="167"/>
      <c r="F12" s="167"/>
      <c r="G12" s="167"/>
      <c r="H12" s="29"/>
      <c r="I12" s="29"/>
      <c r="K12" s="429"/>
    </row>
    <row r="13" spans="2:11" ht="18" customHeight="1" x14ac:dyDescent="0.25">
      <c r="B13" s="639" t="s">
        <v>517</v>
      </c>
      <c r="C13" s="169"/>
      <c r="D13" s="170" t="s">
        <v>968</v>
      </c>
      <c r="E13" s="167">
        <v>0</v>
      </c>
      <c r="F13" s="167">
        <v>850</v>
      </c>
      <c r="G13" s="167">
        <f>SUM(E13:F13)</f>
        <v>850</v>
      </c>
      <c r="H13" s="29"/>
      <c r="I13" s="29"/>
      <c r="K13" s="429"/>
    </row>
    <row r="14" spans="2:11" ht="18" customHeight="1" x14ac:dyDescent="0.25">
      <c r="B14" s="639" t="s">
        <v>518</v>
      </c>
      <c r="C14" s="169"/>
      <c r="D14" s="22" t="s">
        <v>596</v>
      </c>
      <c r="E14" s="167"/>
      <c r="F14" s="171">
        <v>0</v>
      </c>
      <c r="G14" s="167">
        <f>SUM(E14:F14)</f>
        <v>0</v>
      </c>
      <c r="H14" s="29"/>
      <c r="I14" s="29"/>
      <c r="K14" s="429"/>
    </row>
    <row r="15" spans="2:11" ht="18" customHeight="1" x14ac:dyDescent="0.25">
      <c r="B15" s="639" t="s">
        <v>519</v>
      </c>
      <c r="C15" s="169"/>
      <c r="D15" s="22" t="s">
        <v>1027</v>
      </c>
      <c r="E15" s="167"/>
      <c r="F15" s="171">
        <v>600</v>
      </c>
      <c r="G15" s="167">
        <f>SUM(E15:F15)</f>
        <v>600</v>
      </c>
      <c r="H15" s="29"/>
      <c r="I15" s="29"/>
      <c r="K15" s="429"/>
    </row>
    <row r="16" spans="2:11" ht="18" customHeight="1" x14ac:dyDescent="0.25">
      <c r="B16" s="639" t="s">
        <v>520</v>
      </c>
      <c r="C16" s="169"/>
      <c r="D16" s="22" t="s">
        <v>1028</v>
      </c>
      <c r="E16" s="167"/>
      <c r="F16" s="171">
        <v>800</v>
      </c>
      <c r="G16" s="167">
        <f t="shared" ref="G16:G20" si="0">SUM(E16:F16)</f>
        <v>800</v>
      </c>
      <c r="H16" s="29"/>
      <c r="I16" s="29"/>
      <c r="K16" s="429"/>
    </row>
    <row r="17" spans="2:19" ht="18" customHeight="1" x14ac:dyDescent="0.25">
      <c r="B17" s="639" t="s">
        <v>521</v>
      </c>
      <c r="C17" s="169"/>
      <c r="D17" s="22" t="s">
        <v>1029</v>
      </c>
      <c r="E17" s="167"/>
      <c r="F17" s="171">
        <v>1000</v>
      </c>
      <c r="G17" s="167">
        <f t="shared" si="0"/>
        <v>1000</v>
      </c>
      <c r="H17" s="29"/>
      <c r="I17" s="29"/>
      <c r="K17" s="429"/>
    </row>
    <row r="18" spans="2:19" ht="18" customHeight="1" x14ac:dyDescent="0.25">
      <c r="B18" s="639" t="s">
        <v>522</v>
      </c>
      <c r="C18" s="169"/>
      <c r="D18" s="22" t="s">
        <v>1030</v>
      </c>
      <c r="E18" s="167"/>
      <c r="F18" s="171">
        <v>600</v>
      </c>
      <c r="G18" s="167">
        <f t="shared" si="0"/>
        <v>600</v>
      </c>
      <c r="H18" s="29"/>
      <c r="I18" s="29"/>
      <c r="K18" s="429"/>
    </row>
    <row r="19" spans="2:19" ht="18" customHeight="1" x14ac:dyDescent="0.25">
      <c r="B19" s="639" t="s">
        <v>564</v>
      </c>
      <c r="C19" s="169"/>
      <c r="D19" s="22" t="s">
        <v>1031</v>
      </c>
      <c r="E19" s="167">
        <v>2300</v>
      </c>
      <c r="F19" s="171">
        <v>0</v>
      </c>
      <c r="G19" s="167">
        <f t="shared" si="0"/>
        <v>2300</v>
      </c>
      <c r="H19" s="29"/>
      <c r="I19" s="29"/>
      <c r="K19" s="429"/>
    </row>
    <row r="20" spans="2:19" ht="18" customHeight="1" x14ac:dyDescent="0.25">
      <c r="B20" s="639" t="s">
        <v>565</v>
      </c>
      <c r="C20" s="169"/>
      <c r="D20" s="417" t="s">
        <v>629</v>
      </c>
      <c r="E20" s="167">
        <v>500</v>
      </c>
      <c r="F20" s="171">
        <v>0</v>
      </c>
      <c r="G20" s="167">
        <f t="shared" si="0"/>
        <v>500</v>
      </c>
      <c r="H20" s="29"/>
      <c r="I20" s="29"/>
      <c r="K20" s="429"/>
    </row>
    <row r="21" spans="2:19" ht="18" customHeight="1" x14ac:dyDescent="0.25">
      <c r="B21" s="639" t="s">
        <v>566</v>
      </c>
      <c r="C21" s="564"/>
      <c r="D21" s="417" t="s">
        <v>593</v>
      </c>
      <c r="E21" s="167"/>
      <c r="F21" s="171">
        <v>1800</v>
      </c>
      <c r="G21" s="167">
        <f>SUM(E21:F21)</f>
        <v>1800</v>
      </c>
      <c r="H21" s="29"/>
      <c r="I21" s="29"/>
      <c r="K21" s="429"/>
    </row>
    <row r="22" spans="2:19" ht="18" customHeight="1" x14ac:dyDescent="0.25">
      <c r="B22" s="639" t="s">
        <v>567</v>
      </c>
      <c r="C22" s="564"/>
      <c r="D22" s="566" t="s">
        <v>592</v>
      </c>
      <c r="E22" s="565"/>
      <c r="F22" s="171">
        <v>1100</v>
      </c>
      <c r="G22" s="418">
        <f>SUM(E22:F22)</f>
        <v>1100</v>
      </c>
      <c r="H22" s="30"/>
      <c r="I22" s="30"/>
      <c r="J22" s="30"/>
      <c r="K22" s="429"/>
      <c r="M22" s="30"/>
    </row>
    <row r="23" spans="2:19" ht="18" customHeight="1" x14ac:dyDescent="0.25">
      <c r="B23" s="639" t="s">
        <v>568</v>
      </c>
      <c r="C23" s="168" t="s">
        <v>969</v>
      </c>
      <c r="D23" s="165"/>
      <c r="E23" s="172">
        <f>SUM(E13:E22)</f>
        <v>2800</v>
      </c>
      <c r="F23" s="172">
        <f>SUM(F13:F22)</f>
        <v>6750</v>
      </c>
      <c r="G23" s="172">
        <f t="shared" ref="G23:J23" si="1">SUM(G13:G22)</f>
        <v>9550</v>
      </c>
      <c r="H23" s="172">
        <f t="shared" si="1"/>
        <v>0</v>
      </c>
      <c r="I23" s="172">
        <f t="shared" si="1"/>
        <v>0</v>
      </c>
      <c r="J23" s="172">
        <f t="shared" si="1"/>
        <v>0</v>
      </c>
      <c r="K23" s="429"/>
    </row>
    <row r="24" spans="2:19" ht="20.25" customHeight="1" x14ac:dyDescent="0.25">
      <c r="B24" s="639"/>
      <c r="D24" s="25"/>
      <c r="E24" s="167"/>
      <c r="F24" s="167"/>
      <c r="G24" s="167"/>
      <c r="H24" s="29"/>
      <c r="I24" s="29"/>
      <c r="K24" s="429"/>
    </row>
    <row r="25" spans="2:19" ht="18" customHeight="1" x14ac:dyDescent="0.25">
      <c r="B25" s="639" t="s">
        <v>569</v>
      </c>
      <c r="C25" s="17" t="s">
        <v>634</v>
      </c>
      <c r="E25" s="167"/>
      <c r="F25" s="167"/>
      <c r="G25" s="167"/>
      <c r="H25" s="29"/>
      <c r="I25" s="29"/>
      <c r="K25" s="429"/>
      <c r="S25" s="30"/>
    </row>
    <row r="26" spans="2:19" ht="18" customHeight="1" x14ac:dyDescent="0.25">
      <c r="B26" s="639" t="s">
        <v>570</v>
      </c>
      <c r="D26" s="22" t="s">
        <v>635</v>
      </c>
      <c r="E26" s="167"/>
      <c r="F26" s="167">
        <v>0</v>
      </c>
      <c r="G26" s="167">
        <f>SUM(E26:F26)</f>
        <v>0</v>
      </c>
      <c r="H26" s="29"/>
      <c r="I26" s="29"/>
      <c r="K26" s="429"/>
    </row>
    <row r="27" spans="2:19" ht="18" customHeight="1" x14ac:dyDescent="0.25">
      <c r="B27" s="639" t="s">
        <v>571</v>
      </c>
      <c r="D27" s="22" t="s">
        <v>583</v>
      </c>
      <c r="E27" s="171">
        <v>0</v>
      </c>
      <c r="F27" s="167">
        <v>0</v>
      </c>
      <c r="G27" s="167">
        <f>SUM(E27:F27)</f>
        <v>0</v>
      </c>
      <c r="H27" s="29"/>
      <c r="I27" s="29"/>
      <c r="K27" s="429"/>
    </row>
    <row r="28" spans="2:19" ht="18" customHeight="1" x14ac:dyDescent="0.25">
      <c r="B28" s="639" t="s">
        <v>573</v>
      </c>
      <c r="C28" s="26" t="s">
        <v>970</v>
      </c>
      <c r="E28" s="567">
        <f>SUM(E26:E27)</f>
        <v>0</v>
      </c>
      <c r="F28" s="567">
        <f>SUM(F26:F27)</f>
        <v>0</v>
      </c>
      <c r="G28" s="567">
        <f>SUM(G26:G27)</f>
        <v>0</v>
      </c>
      <c r="H28" s="29"/>
      <c r="I28" s="29"/>
      <c r="K28" s="429"/>
    </row>
    <row r="29" spans="2:19" ht="18" customHeight="1" x14ac:dyDescent="0.25">
      <c r="B29" s="639"/>
      <c r="E29" s="167"/>
      <c r="F29" s="167"/>
      <c r="G29" s="167"/>
      <c r="H29" s="29"/>
      <c r="I29" s="29"/>
      <c r="K29" s="429"/>
    </row>
    <row r="30" spans="2:19" ht="37.9" customHeight="1" x14ac:dyDescent="0.25">
      <c r="B30" s="640" t="s">
        <v>574</v>
      </c>
      <c r="D30" s="22" t="s">
        <v>637</v>
      </c>
      <c r="E30" s="167"/>
      <c r="F30" s="167">
        <v>4200</v>
      </c>
      <c r="G30" s="167">
        <f>SUM(E30:F30)</f>
        <v>4200</v>
      </c>
      <c r="H30" s="29"/>
      <c r="I30" s="29"/>
      <c r="K30" s="429"/>
    </row>
    <row r="31" spans="2:19" ht="23.25" customHeight="1" thickBot="1" x14ac:dyDescent="0.3">
      <c r="B31" s="641" t="s">
        <v>575</v>
      </c>
      <c r="C31" s="619"/>
      <c r="D31" s="617" t="s">
        <v>633</v>
      </c>
      <c r="E31" s="568">
        <f>E30</f>
        <v>0</v>
      </c>
      <c r="F31" s="568">
        <f t="shared" ref="F31:G31" si="2">F30</f>
        <v>4200</v>
      </c>
      <c r="G31" s="568">
        <f t="shared" si="2"/>
        <v>4200</v>
      </c>
      <c r="H31" s="29"/>
      <c r="I31" s="29"/>
      <c r="K31" s="429"/>
    </row>
    <row r="32" spans="2:19" s="31" customFormat="1" ht="18" customHeight="1" thickBot="1" x14ac:dyDescent="0.3">
      <c r="B32" s="642" t="s">
        <v>576</v>
      </c>
      <c r="C32" s="618" t="s">
        <v>971</v>
      </c>
      <c r="D32" s="214"/>
      <c r="E32" s="569">
        <f>E23+E28+E30</f>
        <v>2800</v>
      </c>
      <c r="F32" s="569">
        <f t="shared" ref="F32:G32" si="3">F23+F28+F30</f>
        <v>10950</v>
      </c>
      <c r="G32" s="569">
        <f t="shared" si="3"/>
        <v>13750</v>
      </c>
      <c r="K32" s="430"/>
      <c r="M32" s="35"/>
    </row>
    <row r="33" spans="2:9" ht="18" customHeight="1" x14ac:dyDescent="0.25">
      <c r="B33" s="418"/>
      <c r="H33" s="29"/>
      <c r="I33" s="29"/>
    </row>
    <row r="34" spans="2:9" ht="18" customHeight="1" x14ac:dyDescent="0.25">
      <c r="H34" s="29"/>
      <c r="I34" s="29"/>
    </row>
    <row r="35" spans="2:9" ht="18" customHeight="1" x14ac:dyDescent="0.25">
      <c r="H35" s="29"/>
      <c r="I35" s="29"/>
    </row>
    <row r="36" spans="2:9" ht="18" customHeight="1" x14ac:dyDescent="0.25">
      <c r="H36" s="29"/>
      <c r="I36" s="29"/>
    </row>
    <row r="37" spans="2:9" ht="18" customHeight="1" x14ac:dyDescent="0.25">
      <c r="H37" s="29"/>
      <c r="I37" s="29"/>
    </row>
    <row r="38" spans="2:9" ht="18" customHeight="1" x14ac:dyDescent="0.25">
      <c r="H38" s="29"/>
      <c r="I38" s="29"/>
    </row>
    <row r="39" spans="2:9" ht="18" customHeight="1" x14ac:dyDescent="0.25">
      <c r="H39" s="29"/>
      <c r="I39" s="29"/>
    </row>
    <row r="40" spans="2:9" ht="18" customHeight="1" x14ac:dyDescent="0.25">
      <c r="H40" s="29"/>
      <c r="I40" s="29"/>
    </row>
    <row r="41" spans="2:9" ht="18" customHeight="1" x14ac:dyDescent="0.25">
      <c r="H41" s="29"/>
      <c r="I41" s="29"/>
    </row>
    <row r="42" spans="2:9" ht="18" customHeight="1" x14ac:dyDescent="0.25">
      <c r="H42" s="29"/>
      <c r="I42" s="29"/>
    </row>
    <row r="43" spans="2:9" ht="18" customHeight="1" x14ac:dyDescent="0.25">
      <c r="H43" s="29"/>
      <c r="I43" s="29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61" customWidth="1"/>
    <col min="5" max="6" width="9.42578125" style="3" customWidth="1"/>
    <col min="7" max="7" width="9.7109375" style="3" customWidth="1"/>
    <col min="8" max="9" width="0" style="162" hidden="1" customWidth="1"/>
    <col min="10" max="10" width="9.85546875" style="181" hidden="1" customWidth="1"/>
    <col min="11" max="11" width="0" style="181" hidden="1" customWidth="1"/>
    <col min="12" max="16384" width="9.140625" style="4"/>
  </cols>
  <sheetData>
    <row r="1" spans="1:12" ht="31.5" customHeight="1" x14ac:dyDescent="0.2">
      <c r="B1" s="1628" t="s">
        <v>1211</v>
      </c>
      <c r="C1" s="1628"/>
      <c r="D1" s="1628"/>
      <c r="E1" s="1628"/>
      <c r="F1" s="1628"/>
      <c r="G1" s="1628"/>
      <c r="H1" s="1629"/>
      <c r="I1" s="1629"/>
      <c r="J1" s="1629"/>
      <c r="K1" s="1453"/>
    </row>
    <row r="3" spans="1:12" ht="12.75" customHeight="1" x14ac:dyDescent="0.2">
      <c r="B3" s="1452" t="s">
        <v>537</v>
      </c>
      <c r="C3" s="1452"/>
      <c r="D3" s="1452"/>
      <c r="E3" s="1452"/>
      <c r="F3" s="1452"/>
      <c r="G3" s="1452"/>
      <c r="H3" s="1453"/>
      <c r="I3" s="1453"/>
      <c r="J3" s="1453"/>
    </row>
    <row r="4" spans="1:12" ht="12.75" customHeight="1" x14ac:dyDescent="0.2">
      <c r="B4" s="1452" t="s">
        <v>1121</v>
      </c>
      <c r="C4" s="1452"/>
      <c r="D4" s="1452"/>
      <c r="E4" s="1452"/>
      <c r="F4" s="1452"/>
      <c r="G4" s="1452"/>
      <c r="H4" s="1453"/>
      <c r="I4" s="1453"/>
      <c r="J4" s="1453"/>
    </row>
    <row r="5" spans="1:12" ht="12.75" customHeight="1" x14ac:dyDescent="0.2">
      <c r="B5" s="1452" t="s">
        <v>972</v>
      </c>
      <c r="C5" s="1452"/>
      <c r="D5" s="1452"/>
      <c r="E5" s="1452"/>
      <c r="F5" s="1452"/>
      <c r="G5" s="1452"/>
      <c r="H5" s="1453"/>
      <c r="I5" s="1453"/>
      <c r="J5" s="1453"/>
    </row>
    <row r="6" spans="1:12" s="108" customFormat="1" ht="14.25" customHeight="1" x14ac:dyDescent="0.2">
      <c r="B6" s="158"/>
      <c r="C6" s="1627" t="s">
        <v>320</v>
      </c>
      <c r="D6" s="1627"/>
      <c r="E6" s="1538"/>
      <c r="F6" s="1538"/>
      <c r="G6" s="1538"/>
      <c r="H6" s="1453"/>
      <c r="I6" s="1453"/>
      <c r="J6" s="1453"/>
      <c r="K6" s="183"/>
    </row>
    <row r="7" spans="1:12" s="108" customFormat="1" ht="6" customHeight="1" x14ac:dyDescent="0.2">
      <c r="B7" s="158"/>
      <c r="C7" s="157"/>
      <c r="D7" s="173"/>
      <c r="E7" s="158"/>
      <c r="F7" s="158"/>
      <c r="G7" s="158"/>
      <c r="H7" s="212"/>
      <c r="I7" s="212"/>
      <c r="J7" s="183"/>
      <c r="K7" s="183"/>
    </row>
    <row r="8" spans="1:12" ht="27" customHeight="1" x14ac:dyDescent="0.25">
      <c r="B8" s="1620" t="s">
        <v>497</v>
      </c>
      <c r="C8" s="1623" t="s">
        <v>57</v>
      </c>
      <c r="D8" s="1623"/>
      <c r="E8" s="20" t="s">
        <v>58</v>
      </c>
      <c r="F8" s="20" t="s">
        <v>59</v>
      </c>
      <c r="G8" s="20" t="s">
        <v>60</v>
      </c>
      <c r="H8" s="181"/>
      <c r="I8" s="4"/>
      <c r="J8" s="4"/>
      <c r="K8" s="4"/>
    </row>
    <row r="9" spans="1:12" ht="30" customHeight="1" x14ac:dyDescent="0.2">
      <c r="B9" s="1621"/>
      <c r="C9" s="1615" t="s">
        <v>86</v>
      </c>
      <c r="D9" s="1615"/>
      <c r="E9" s="1625" t="s">
        <v>1117</v>
      </c>
      <c r="F9" s="1625"/>
      <c r="G9" s="1625"/>
      <c r="H9" s="181"/>
      <c r="I9" s="4"/>
      <c r="J9" s="4"/>
      <c r="K9" s="4"/>
    </row>
    <row r="10" spans="1:12" ht="41.25" customHeight="1" x14ac:dyDescent="0.2">
      <c r="B10" s="1622"/>
      <c r="C10" s="1615"/>
      <c r="D10" s="1615"/>
      <c r="E10" s="166" t="s">
        <v>62</v>
      </c>
      <c r="F10" s="166" t="s">
        <v>63</v>
      </c>
      <c r="G10" s="166" t="s">
        <v>64</v>
      </c>
      <c r="H10" s="181"/>
      <c r="I10" s="4"/>
      <c r="J10" s="4"/>
      <c r="K10" s="4"/>
    </row>
    <row r="11" spans="1:12" ht="18" customHeight="1" x14ac:dyDescent="0.2">
      <c r="A11" s="634"/>
      <c r="B11" s="635" t="s">
        <v>507</v>
      </c>
      <c r="C11" s="1626" t="s">
        <v>638</v>
      </c>
      <c r="D11" s="1626"/>
      <c r="E11" s="174"/>
      <c r="F11" s="159"/>
      <c r="G11" s="413"/>
      <c r="H11" s="181"/>
      <c r="I11" s="4"/>
      <c r="J11" s="4"/>
      <c r="K11" s="4"/>
      <c r="L11" s="428"/>
    </row>
    <row r="12" spans="1:12" ht="26.45" customHeight="1" x14ac:dyDescent="0.2">
      <c r="A12" s="634"/>
      <c r="B12" s="636" t="s">
        <v>515</v>
      </c>
      <c r="C12" s="159"/>
      <c r="D12" s="234" t="s">
        <v>973</v>
      </c>
      <c r="E12" s="176">
        <f>'tám, végl. pe.átv  '!C27</f>
        <v>350</v>
      </c>
      <c r="F12" s="175"/>
      <c r="G12" s="413">
        <f>SUM(E12:F12)</f>
        <v>350</v>
      </c>
      <c r="H12" s="181"/>
      <c r="I12" s="4"/>
      <c r="J12" s="4"/>
      <c r="K12" s="4"/>
      <c r="L12" s="428"/>
    </row>
    <row r="13" spans="1:12" ht="20.25" customHeight="1" x14ac:dyDescent="0.2">
      <c r="A13" s="634"/>
      <c r="B13" s="636" t="s">
        <v>516</v>
      </c>
      <c r="C13" s="159"/>
      <c r="D13" s="234" t="s">
        <v>114</v>
      </c>
      <c r="E13" s="174">
        <v>0</v>
      </c>
      <c r="F13" s="159">
        <f>SUM(F12)</f>
        <v>0</v>
      </c>
      <c r="G13" s="413">
        <f>SUM(E13:F13)</f>
        <v>0</v>
      </c>
      <c r="H13" s="181"/>
      <c r="I13" s="4"/>
      <c r="J13" s="4"/>
      <c r="K13" s="4"/>
      <c r="L13" s="428"/>
    </row>
    <row r="14" spans="1:12" ht="18" customHeight="1" x14ac:dyDescent="0.2">
      <c r="A14" s="634"/>
      <c r="B14" s="636" t="s">
        <v>517</v>
      </c>
      <c r="D14" s="177" t="s">
        <v>633</v>
      </c>
      <c r="E14" s="178">
        <f>SUM(E12:E13)</f>
        <v>350</v>
      </c>
      <c r="F14" s="160"/>
      <c r="G14" s="414">
        <f>SUM(G12:G13)</f>
        <v>350</v>
      </c>
      <c r="H14" s="181"/>
      <c r="I14" s="4"/>
      <c r="J14" s="4"/>
      <c r="K14" s="4"/>
      <c r="L14" s="428"/>
    </row>
    <row r="15" spans="1:12" ht="18" customHeight="1" x14ac:dyDescent="0.2">
      <c r="A15" s="634"/>
      <c r="B15" s="636" t="s">
        <v>518</v>
      </c>
      <c r="D15" s="177"/>
      <c r="E15" s="174"/>
      <c r="F15" s="159"/>
      <c r="G15" s="413"/>
      <c r="H15" s="181"/>
      <c r="I15" s="4"/>
      <c r="J15" s="4"/>
      <c r="K15" s="4"/>
      <c r="L15" s="428"/>
    </row>
    <row r="16" spans="1:12" ht="18" customHeight="1" x14ac:dyDescent="0.2">
      <c r="A16" s="634"/>
      <c r="B16" s="637" t="s">
        <v>519</v>
      </c>
      <c r="E16" s="215"/>
      <c r="F16" s="159"/>
      <c r="G16" s="415"/>
      <c r="H16" s="181"/>
      <c r="I16" s="4"/>
      <c r="J16" s="4"/>
      <c r="K16" s="4"/>
      <c r="L16" s="428"/>
    </row>
    <row r="17" spans="2:12" ht="18" customHeight="1" x14ac:dyDescent="0.2">
      <c r="B17" s="179" t="s">
        <v>520</v>
      </c>
      <c r="C17" s="1624" t="s">
        <v>636</v>
      </c>
      <c r="D17" s="1624"/>
      <c r="E17" s="180">
        <f>E14</f>
        <v>350</v>
      </c>
      <c r="F17" s="180">
        <f t="shared" ref="F17:G17" si="0">F14</f>
        <v>0</v>
      </c>
      <c r="G17" s="180">
        <f t="shared" si="0"/>
        <v>350</v>
      </c>
      <c r="H17" s="181"/>
      <c r="I17" s="4"/>
      <c r="J17" s="4"/>
      <c r="K17" s="4"/>
      <c r="L17" s="428"/>
    </row>
    <row r="18" spans="2:12" ht="18" customHeight="1" x14ac:dyDescent="0.2">
      <c r="B18" s="5"/>
      <c r="H18" s="181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55"/>
  <sheetViews>
    <sheetView zoomScale="120" workbookViewId="0">
      <selection activeCell="F14" sqref="F14"/>
    </sheetView>
  </sheetViews>
  <sheetFormatPr defaultColWidth="9.140625" defaultRowHeight="11.25" x14ac:dyDescent="0.2"/>
  <cols>
    <col min="1" max="1" width="4.85546875" style="116" customWidth="1"/>
    <col min="2" max="2" width="39.85546875" style="116" customWidth="1"/>
    <col min="3" max="3" width="10" style="117" customWidth="1"/>
    <col min="4" max="4" width="11" style="117" customWidth="1"/>
    <col min="5" max="5" width="11.28515625" style="117" customWidth="1"/>
    <col min="6" max="6" width="10.7109375" style="117" customWidth="1"/>
    <col min="7" max="10" width="10.85546875" style="117" customWidth="1"/>
    <col min="11" max="11" width="33.7109375" style="117" customWidth="1"/>
    <col min="12" max="12" width="10.5703125" style="204" customWidth="1"/>
    <col min="13" max="13" width="11.42578125" style="204" customWidth="1"/>
    <col min="14" max="14" width="11.5703125" style="204" customWidth="1"/>
    <col min="15" max="15" width="10.7109375" style="116" customWidth="1"/>
    <col min="16" max="16" width="10.7109375" style="10" customWidth="1"/>
    <col min="17" max="19" width="10.85546875" style="10" customWidth="1"/>
    <col min="20" max="16384" width="9.140625" style="10"/>
  </cols>
  <sheetData>
    <row r="1" spans="1:21" ht="12.75" customHeight="1" x14ac:dyDescent="0.2">
      <c r="B1" s="1386" t="s">
        <v>1296</v>
      </c>
      <c r="C1" s="1386"/>
      <c r="D1" s="1386"/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1386"/>
      <c r="P1" s="1386"/>
      <c r="Q1" s="1386"/>
      <c r="R1" s="1386"/>
      <c r="S1" s="1386"/>
    </row>
    <row r="2" spans="1:21" x14ac:dyDescent="0.2">
      <c r="N2" s="253"/>
    </row>
    <row r="3" spans="1:21" x14ac:dyDescent="0.2">
      <c r="N3" s="253"/>
    </row>
    <row r="4" spans="1:21" s="98" customFormat="1" x14ac:dyDescent="0.2">
      <c r="A4" s="119"/>
      <c r="B4" s="1387" t="s">
        <v>78</v>
      </c>
      <c r="C4" s="1387"/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387"/>
      <c r="P4" s="1387"/>
      <c r="Q4" s="1387"/>
      <c r="R4" s="1387"/>
      <c r="S4" s="1387"/>
    </row>
    <row r="5" spans="1:21" s="98" customFormat="1" x14ac:dyDescent="0.2">
      <c r="A5" s="119"/>
      <c r="B5" s="1530" t="s">
        <v>196</v>
      </c>
      <c r="C5" s="1530"/>
      <c r="D5" s="1530"/>
      <c r="E5" s="1530"/>
      <c r="F5" s="1530"/>
      <c r="G5" s="1530"/>
      <c r="H5" s="1530"/>
      <c r="I5" s="1530"/>
      <c r="J5" s="1530"/>
      <c r="K5" s="1530"/>
      <c r="L5" s="1530"/>
      <c r="M5" s="1530"/>
      <c r="N5" s="1530"/>
      <c r="O5" s="1530"/>
      <c r="P5" s="1530"/>
      <c r="Q5" s="1530"/>
      <c r="R5" s="1530"/>
      <c r="S5" s="1530"/>
    </row>
    <row r="6" spans="1:21" s="98" customFormat="1" x14ac:dyDescent="0.2">
      <c r="A6" s="119"/>
      <c r="B6" s="1387" t="s">
        <v>1123</v>
      </c>
      <c r="C6" s="1387"/>
      <c r="D6" s="1387"/>
      <c r="E6" s="1387"/>
      <c r="F6" s="1387"/>
      <c r="G6" s="1387"/>
      <c r="H6" s="1387"/>
      <c r="I6" s="1387"/>
      <c r="J6" s="1387"/>
      <c r="K6" s="1387"/>
      <c r="L6" s="1387"/>
      <c r="M6" s="1387"/>
      <c r="N6" s="1387"/>
      <c r="O6" s="1387"/>
      <c r="P6" s="1387"/>
      <c r="Q6" s="1387"/>
      <c r="R6" s="1387"/>
      <c r="S6" s="1387"/>
    </row>
    <row r="7" spans="1:21" s="98" customFormat="1" ht="12" thickBot="1" x14ac:dyDescent="0.25">
      <c r="A7" s="119"/>
      <c r="B7" s="1428" t="s">
        <v>320</v>
      </c>
      <c r="C7" s="1428"/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</row>
    <row r="8" spans="1:21" s="98" customFormat="1" ht="12.75" customHeight="1" x14ac:dyDescent="0.2">
      <c r="A8" s="1522" t="s">
        <v>56</v>
      </c>
      <c r="B8" s="1401" t="s">
        <v>57</v>
      </c>
      <c r="C8" s="1519" t="s">
        <v>58</v>
      </c>
      <c r="D8" s="1520"/>
      <c r="E8" s="1520"/>
      <c r="F8" s="1520"/>
      <c r="G8" s="1520"/>
      <c r="H8" s="1520"/>
      <c r="I8" s="1520"/>
      <c r="J8" s="1521"/>
      <c r="K8" s="1525" t="s">
        <v>59</v>
      </c>
      <c r="L8" s="1630" t="s">
        <v>60</v>
      </c>
      <c r="M8" s="1630"/>
      <c r="N8" s="1630"/>
      <c r="O8" s="1630"/>
      <c r="P8" s="1630"/>
      <c r="Q8" s="1630"/>
      <c r="R8" s="1630"/>
      <c r="S8" s="1631"/>
    </row>
    <row r="9" spans="1:21" s="98" customFormat="1" ht="12.75" customHeight="1" x14ac:dyDescent="0.2">
      <c r="A9" s="1523"/>
      <c r="B9" s="1402"/>
      <c r="C9" s="1396" t="s">
        <v>1282</v>
      </c>
      <c r="D9" s="1396"/>
      <c r="E9" s="1397"/>
      <c r="F9" s="1390" t="s">
        <v>1299</v>
      </c>
      <c r="G9" s="1391"/>
      <c r="H9" s="1390" t="s">
        <v>1270</v>
      </c>
      <c r="I9" s="1390"/>
      <c r="J9" s="1392"/>
      <c r="K9" s="1526"/>
      <c r="L9" s="1425" t="s">
        <v>1282</v>
      </c>
      <c r="M9" s="1425"/>
      <c r="N9" s="1426"/>
      <c r="O9" s="1420" t="s">
        <v>1299</v>
      </c>
      <c r="P9" s="1421"/>
      <c r="Q9" s="1420" t="s">
        <v>1270</v>
      </c>
      <c r="R9" s="1420"/>
      <c r="S9" s="1527"/>
    </row>
    <row r="10" spans="1:21" s="216" customFormat="1" ht="36.6" customHeight="1" thickBot="1" x14ac:dyDescent="0.25">
      <c r="A10" s="1632"/>
      <c r="B10" s="1333" t="s">
        <v>61</v>
      </c>
      <c r="C10" s="1305" t="s">
        <v>62</v>
      </c>
      <c r="D10" s="1305" t="s">
        <v>63</v>
      </c>
      <c r="E10" s="1306" t="s">
        <v>64</v>
      </c>
      <c r="F10" s="1305" t="s">
        <v>62</v>
      </c>
      <c r="G10" s="1306" t="s">
        <v>63</v>
      </c>
      <c r="H10" s="1305" t="s">
        <v>62</v>
      </c>
      <c r="I10" s="1305" t="s">
        <v>63</v>
      </c>
      <c r="J10" s="1337" t="s">
        <v>64</v>
      </c>
      <c r="K10" s="1336" t="s">
        <v>65</v>
      </c>
      <c r="L10" s="1309" t="s">
        <v>62</v>
      </c>
      <c r="M10" s="1309" t="s">
        <v>63</v>
      </c>
      <c r="N10" s="1309" t="s">
        <v>64</v>
      </c>
      <c r="O10" s="1305" t="s">
        <v>62</v>
      </c>
      <c r="P10" s="1306" t="s">
        <v>63</v>
      </c>
      <c r="Q10" s="1305" t="s">
        <v>62</v>
      </c>
      <c r="R10" s="1306" t="s">
        <v>63</v>
      </c>
      <c r="S10" s="1307" t="s">
        <v>64</v>
      </c>
    </row>
    <row r="11" spans="1:21" ht="11.45" customHeight="1" x14ac:dyDescent="0.2">
      <c r="A11" s="1375">
        <v>1</v>
      </c>
      <c r="B11" s="1271" t="s">
        <v>24</v>
      </c>
      <c r="C11" s="124"/>
      <c r="D11" s="124"/>
      <c r="E11" s="124"/>
      <c r="F11" s="124"/>
      <c r="G11" s="124"/>
      <c r="H11" s="124"/>
      <c r="I11" s="124"/>
      <c r="J11" s="1293"/>
      <c r="K11" s="1272" t="s">
        <v>25</v>
      </c>
      <c r="L11" s="1273"/>
      <c r="M11" s="1273"/>
      <c r="N11" s="1274"/>
      <c r="O11" s="205"/>
      <c r="P11" s="205"/>
      <c r="Q11" s="205"/>
      <c r="R11" s="205"/>
      <c r="S11" s="1312"/>
    </row>
    <row r="12" spans="1:21" x14ac:dyDescent="0.2">
      <c r="A12" s="1376">
        <f t="shared" ref="A12:A54" si="0">A11+1</f>
        <v>2</v>
      </c>
      <c r="B12" s="121" t="s">
        <v>35</v>
      </c>
      <c r="C12" s="95"/>
      <c r="D12" s="95"/>
      <c r="E12" s="95">
        <f t="shared" ref="E12:E18" si="1">SUM(C12:D12)</f>
        <v>0</v>
      </c>
      <c r="F12" s="95"/>
      <c r="G12" s="95"/>
      <c r="H12" s="95"/>
      <c r="I12" s="95"/>
      <c r="J12" s="1294"/>
      <c r="K12" s="95" t="s">
        <v>230</v>
      </c>
      <c r="L12" s="199">
        <v>200542</v>
      </c>
      <c r="M12" s="199">
        <v>35565</v>
      </c>
      <c r="N12" s="1275">
        <f>SUM(L12:M12)</f>
        <v>236107</v>
      </c>
      <c r="O12" s="1274"/>
      <c r="P12" s="1274">
        <v>6617</v>
      </c>
      <c r="Q12" s="1274">
        <f>L12+O12</f>
        <v>200542</v>
      </c>
      <c r="R12" s="1274">
        <f>M12+P12</f>
        <v>42182</v>
      </c>
      <c r="S12" s="1316">
        <f>Q12+R12</f>
        <v>242724</v>
      </c>
      <c r="U12" s="205"/>
    </row>
    <row r="13" spans="1:21" x14ac:dyDescent="0.2">
      <c r="A13" s="1376">
        <f t="shared" si="0"/>
        <v>3</v>
      </c>
      <c r="B13" s="121" t="s">
        <v>36</v>
      </c>
      <c r="C13" s="95"/>
      <c r="D13" s="95"/>
      <c r="E13" s="95">
        <f t="shared" si="1"/>
        <v>0</v>
      </c>
      <c r="F13" s="95"/>
      <c r="G13" s="95"/>
      <c r="H13" s="95"/>
      <c r="I13" s="95"/>
      <c r="J13" s="1294"/>
      <c r="K13" s="1292" t="s">
        <v>231</v>
      </c>
      <c r="L13" s="199">
        <v>43074</v>
      </c>
      <c r="M13" s="199">
        <v>6765</v>
      </c>
      <c r="N13" s="1275">
        <f>SUM(L13:M13)</f>
        <v>49839</v>
      </c>
      <c r="O13" s="1274"/>
      <c r="P13" s="1274">
        <v>1249</v>
      </c>
      <c r="Q13" s="1274">
        <f t="shared" ref="Q13:Q15" si="2">L13+O13</f>
        <v>43074</v>
      </c>
      <c r="R13" s="1274">
        <f t="shared" ref="R13:R14" si="3">M13+P13</f>
        <v>8014</v>
      </c>
      <c r="S13" s="1316">
        <f t="shared" ref="S13:S14" si="4">Q13+R13</f>
        <v>51088</v>
      </c>
    </row>
    <row r="14" spans="1:21" x14ac:dyDescent="0.2">
      <c r="A14" s="1376">
        <f t="shared" si="0"/>
        <v>4</v>
      </c>
      <c r="B14" s="121" t="s">
        <v>207</v>
      </c>
      <c r="C14" s="95">
        <f>'tám, végl. pe.átv  '!C57</f>
        <v>0</v>
      </c>
      <c r="D14" s="95">
        <f>'tám, végl. pe.átv  '!D57</f>
        <v>1235</v>
      </c>
      <c r="E14" s="199">
        <f t="shared" si="1"/>
        <v>1235</v>
      </c>
      <c r="F14" s="199"/>
      <c r="G14" s="199">
        <v>461</v>
      </c>
      <c r="H14" s="199">
        <f>C14+F14</f>
        <v>0</v>
      </c>
      <c r="I14" s="199">
        <f>D14+G14</f>
        <v>1696</v>
      </c>
      <c r="J14" s="1295">
        <f>I14+H14</f>
        <v>1696</v>
      </c>
      <c r="K14" s="95" t="s">
        <v>232</v>
      </c>
      <c r="L14" s="199">
        <v>177000</v>
      </c>
      <c r="M14" s="199">
        <v>49746</v>
      </c>
      <c r="N14" s="1275">
        <f>SUM(L14:M14)</f>
        <v>226746</v>
      </c>
      <c r="O14" s="1274">
        <v>1501</v>
      </c>
      <c r="P14" s="1274"/>
      <c r="Q14" s="1274">
        <f t="shared" si="2"/>
        <v>178501</v>
      </c>
      <c r="R14" s="1274">
        <f t="shared" si="3"/>
        <v>49746</v>
      </c>
      <c r="S14" s="1316">
        <f t="shared" si="4"/>
        <v>228247</v>
      </c>
    </row>
    <row r="15" spans="1:21" ht="12" customHeight="1" x14ac:dyDescent="0.2">
      <c r="A15" s="1376">
        <f t="shared" si="0"/>
        <v>5</v>
      </c>
      <c r="B15" s="1276"/>
      <c r="C15" s="95"/>
      <c r="D15" s="95"/>
      <c r="E15" s="95"/>
      <c r="F15" s="95"/>
      <c r="G15" s="95"/>
      <c r="H15" s="199"/>
      <c r="I15" s="199"/>
      <c r="J15" s="1295"/>
      <c r="K15" s="95"/>
      <c r="L15" s="1277"/>
      <c r="M15" s="1277"/>
      <c r="N15" s="199"/>
      <c r="O15" s="1274"/>
      <c r="P15" s="1274"/>
      <c r="Q15" s="1274">
        <f t="shared" si="2"/>
        <v>0</v>
      </c>
      <c r="R15" s="205"/>
      <c r="S15" s="1313"/>
    </row>
    <row r="16" spans="1:21" x14ac:dyDescent="0.2">
      <c r="A16" s="1376">
        <f t="shared" si="0"/>
        <v>6</v>
      </c>
      <c r="B16" s="121" t="s">
        <v>38</v>
      </c>
      <c r="C16" s="95"/>
      <c r="D16" s="95"/>
      <c r="E16" s="95">
        <f t="shared" si="1"/>
        <v>0</v>
      </c>
      <c r="F16" s="95"/>
      <c r="G16" s="95"/>
      <c r="H16" s="199"/>
      <c r="I16" s="199"/>
      <c r="J16" s="1295"/>
      <c r="K16" s="95" t="s">
        <v>28</v>
      </c>
      <c r="L16" s="1274"/>
      <c r="M16" s="1274"/>
      <c r="N16" s="1274"/>
      <c r="O16" s="1274"/>
      <c r="P16" s="1274"/>
      <c r="Q16" s="205"/>
      <c r="R16" s="205"/>
      <c r="S16" s="1313"/>
    </row>
    <row r="17" spans="1:19" x14ac:dyDescent="0.2">
      <c r="A17" s="1376">
        <f t="shared" si="0"/>
        <v>7</v>
      </c>
      <c r="B17" s="121"/>
      <c r="C17" s="95"/>
      <c r="D17" s="95"/>
      <c r="E17" s="95"/>
      <c r="F17" s="95"/>
      <c r="G17" s="95"/>
      <c r="H17" s="199"/>
      <c r="I17" s="199"/>
      <c r="J17" s="1295"/>
      <c r="K17" s="95" t="s">
        <v>30</v>
      </c>
      <c r="L17" s="1274"/>
      <c r="M17" s="1274"/>
      <c r="N17" s="1274"/>
      <c r="O17" s="1274"/>
      <c r="P17" s="1274"/>
      <c r="Q17" s="205"/>
      <c r="R17" s="205"/>
      <c r="S17" s="1313"/>
    </row>
    <row r="18" spans="1:19" x14ac:dyDescent="0.2">
      <c r="A18" s="1376">
        <f t="shared" si="0"/>
        <v>8</v>
      </c>
      <c r="B18" s="121" t="s">
        <v>39</v>
      </c>
      <c r="C18" s="95"/>
      <c r="D18" s="95"/>
      <c r="E18" s="95">
        <f t="shared" si="1"/>
        <v>0</v>
      </c>
      <c r="F18" s="95"/>
      <c r="G18" s="95"/>
      <c r="H18" s="199"/>
      <c r="I18" s="199"/>
      <c r="J18" s="1295"/>
      <c r="K18" s="95" t="s">
        <v>471</v>
      </c>
      <c r="L18" s="1274"/>
      <c r="M18" s="1274"/>
      <c r="N18" s="1274"/>
      <c r="O18" s="1274"/>
      <c r="P18" s="1274"/>
      <c r="Q18" s="205"/>
      <c r="R18" s="205"/>
      <c r="S18" s="1313"/>
    </row>
    <row r="19" spans="1:19" x14ac:dyDescent="0.2">
      <c r="A19" s="1376">
        <f t="shared" si="0"/>
        <v>9</v>
      </c>
      <c r="B19" s="123" t="s">
        <v>40</v>
      </c>
      <c r="C19" s="1278"/>
      <c r="D19" s="1278"/>
      <c r="E19" s="1278"/>
      <c r="F19" s="1278"/>
      <c r="G19" s="1278"/>
      <c r="H19" s="199"/>
      <c r="I19" s="199"/>
      <c r="J19" s="1295"/>
      <c r="K19" s="95" t="s">
        <v>470</v>
      </c>
      <c r="L19" s="1274"/>
      <c r="M19" s="1274"/>
      <c r="N19" s="1274"/>
      <c r="O19" s="1274"/>
      <c r="P19" s="1274"/>
      <c r="Q19" s="205"/>
      <c r="R19" s="205"/>
      <c r="S19" s="1313"/>
    </row>
    <row r="20" spans="1:19" x14ac:dyDescent="0.2">
      <c r="A20" s="1376">
        <f t="shared" si="0"/>
        <v>10</v>
      </c>
      <c r="B20" s="121" t="s">
        <v>209</v>
      </c>
      <c r="C20" s="1275">
        <f>54374+1800</f>
        <v>56174</v>
      </c>
      <c r="D20" s="1275">
        <f>47860-1960</f>
        <v>45900</v>
      </c>
      <c r="E20" s="1275">
        <f>SUM(C20:D20)</f>
        <v>102074</v>
      </c>
      <c r="F20" s="1275"/>
      <c r="G20" s="1275"/>
      <c r="H20" s="199">
        <f t="shared" ref="H20" si="5">C20+F20</f>
        <v>56174</v>
      </c>
      <c r="I20" s="199">
        <f t="shared" ref="I20" si="6">D20+G20</f>
        <v>45900</v>
      </c>
      <c r="J20" s="1295">
        <f t="shared" ref="J20" si="7">I20+H20</f>
        <v>102074</v>
      </c>
      <c r="K20" s="95" t="s">
        <v>205</v>
      </c>
      <c r="L20" s="1274"/>
      <c r="M20" s="1274"/>
      <c r="N20" s="1274"/>
      <c r="O20" s="1274"/>
      <c r="P20" s="1274"/>
      <c r="Q20" s="205"/>
      <c r="R20" s="205"/>
      <c r="S20" s="1313"/>
    </row>
    <row r="21" spans="1:19" x14ac:dyDescent="0.2">
      <c r="A21" s="1376">
        <f t="shared" si="0"/>
        <v>11</v>
      </c>
      <c r="B21" s="1279"/>
      <c r="C21" s="1278"/>
      <c r="D21" s="1278"/>
      <c r="E21" s="1278"/>
      <c r="F21" s="1278"/>
      <c r="G21" s="1278"/>
      <c r="H21" s="1278"/>
      <c r="I21" s="1278"/>
      <c r="J21" s="1296"/>
      <c r="K21" s="95" t="s">
        <v>977</v>
      </c>
      <c r="L21" s="1274"/>
      <c r="M21" s="1274"/>
      <c r="N21" s="1274"/>
      <c r="O21" s="1274"/>
      <c r="P21" s="1274"/>
      <c r="Q21" s="205"/>
      <c r="R21" s="205"/>
      <c r="S21" s="1313"/>
    </row>
    <row r="22" spans="1:19" s="100" customFormat="1" x14ac:dyDescent="0.2">
      <c r="A22" s="1376">
        <f t="shared" si="0"/>
        <v>12</v>
      </c>
      <c r="B22" s="1279" t="s">
        <v>42</v>
      </c>
      <c r="C22" s="1278"/>
      <c r="D22" s="1278"/>
      <c r="E22" s="1278"/>
      <c r="F22" s="1278"/>
      <c r="G22" s="1278"/>
      <c r="H22" s="1278"/>
      <c r="I22" s="1278"/>
      <c r="J22" s="1296"/>
      <c r="K22" s="95" t="s">
        <v>978</v>
      </c>
      <c r="L22" s="1274"/>
      <c r="M22" s="1274"/>
      <c r="N22" s="1274"/>
      <c r="O22" s="1289"/>
      <c r="P22" s="1289"/>
      <c r="Q22" s="1280"/>
      <c r="R22" s="1280"/>
      <c r="S22" s="1314"/>
    </row>
    <row r="23" spans="1:19" s="100" customFormat="1" x14ac:dyDescent="0.2">
      <c r="A23" s="1376">
        <f t="shared" si="0"/>
        <v>13</v>
      </c>
      <c r="B23" s="1279" t="s">
        <v>43</v>
      </c>
      <c r="C23" s="1278"/>
      <c r="D23" s="1278"/>
      <c r="E23" s="1278"/>
      <c r="F23" s="1278"/>
      <c r="G23" s="1278"/>
      <c r="H23" s="1278"/>
      <c r="I23" s="1278"/>
      <c r="J23" s="1296"/>
      <c r="K23" s="122"/>
      <c r="L23" s="1274"/>
      <c r="M23" s="1274"/>
      <c r="N23" s="1274"/>
      <c r="O23" s="1289"/>
      <c r="P23" s="1289"/>
      <c r="Q23" s="1280"/>
      <c r="R23" s="1280"/>
      <c r="S23" s="1314"/>
    </row>
    <row r="24" spans="1:19" x14ac:dyDescent="0.2">
      <c r="A24" s="1376">
        <f t="shared" si="0"/>
        <v>14</v>
      </c>
      <c r="B24" s="121" t="s">
        <v>44</v>
      </c>
      <c r="C24" s="1281"/>
      <c r="D24" s="1281"/>
      <c r="E24" s="1281"/>
      <c r="F24" s="1281"/>
      <c r="G24" s="1281"/>
      <c r="H24" s="1281"/>
      <c r="I24" s="1281"/>
      <c r="J24" s="1297"/>
      <c r="K24" s="1282" t="s">
        <v>66</v>
      </c>
      <c r="L24" s="1283">
        <f>SUM(L12:L22)</f>
        <v>420616</v>
      </c>
      <c r="M24" s="1283">
        <f>SUM(M12:M22)</f>
        <v>92076</v>
      </c>
      <c r="N24" s="1283">
        <f>SUM(N12:N22)</f>
        <v>512692</v>
      </c>
      <c r="O24" s="1283">
        <f>SUM(O12:O23)</f>
        <v>1501</v>
      </c>
      <c r="P24" s="1283">
        <f>SUM(P12:P23)</f>
        <v>7866</v>
      </c>
      <c r="Q24" s="1283">
        <f>SUM(Q12:Q23)</f>
        <v>422117</v>
      </c>
      <c r="R24" s="1283">
        <f>SUM(R12:R23)</f>
        <v>99942</v>
      </c>
      <c r="S24" s="1329">
        <f>SUM(S12:S23)</f>
        <v>522059</v>
      </c>
    </row>
    <row r="25" spans="1:19" x14ac:dyDescent="0.2">
      <c r="A25" s="1376">
        <f t="shared" si="0"/>
        <v>15</v>
      </c>
      <c r="B25" s="121" t="s">
        <v>45</v>
      </c>
      <c r="C25" s="1278"/>
      <c r="D25" s="1278"/>
      <c r="E25" s="1278"/>
      <c r="F25" s="1278"/>
      <c r="G25" s="1278"/>
      <c r="H25" s="1278"/>
      <c r="I25" s="1278"/>
      <c r="J25" s="1296"/>
      <c r="K25" s="122"/>
      <c r="L25" s="1274"/>
      <c r="M25" s="1274"/>
      <c r="N25" s="1274"/>
      <c r="O25" s="1274"/>
      <c r="P25" s="1274"/>
      <c r="Q25" s="205"/>
      <c r="R25" s="205"/>
      <c r="S25" s="1313"/>
    </row>
    <row r="26" spans="1:19" x14ac:dyDescent="0.2">
      <c r="A26" s="1376">
        <f t="shared" si="0"/>
        <v>16</v>
      </c>
      <c r="B26" s="121" t="s">
        <v>46</v>
      </c>
      <c r="C26" s="1272"/>
      <c r="D26" s="1272"/>
      <c r="E26" s="1272"/>
      <c r="F26" s="1272"/>
      <c r="G26" s="1272"/>
      <c r="H26" s="1272"/>
      <c r="I26" s="1272"/>
      <c r="J26" s="1298"/>
      <c r="K26" s="1272" t="s">
        <v>34</v>
      </c>
      <c r="L26" s="1273"/>
      <c r="M26" s="1273"/>
      <c r="N26" s="1274"/>
      <c r="O26" s="1274"/>
      <c r="P26" s="1274"/>
      <c r="Q26" s="205"/>
      <c r="R26" s="205"/>
      <c r="S26" s="1313"/>
    </row>
    <row r="27" spans="1:19" x14ac:dyDescent="0.2">
      <c r="A27" s="1376">
        <f t="shared" si="0"/>
        <v>17</v>
      </c>
      <c r="B27" s="121" t="s">
        <v>47</v>
      </c>
      <c r="C27" s="95"/>
      <c r="D27" s="95"/>
      <c r="E27" s="95"/>
      <c r="F27" s="95"/>
      <c r="G27" s="95"/>
      <c r="H27" s="95"/>
      <c r="I27" s="95"/>
      <c r="J27" s="1294"/>
      <c r="K27" s="95" t="s">
        <v>290</v>
      </c>
      <c r="L27" s="1274">
        <f>'felhalm. kiad.  '!M119</f>
        <v>6000</v>
      </c>
      <c r="M27" s="1274">
        <f>'felhalm. kiad.  '!P119</f>
        <v>0</v>
      </c>
      <c r="N27" s="1274">
        <f>SUM(L27:M27)</f>
        <v>6000</v>
      </c>
      <c r="O27" s="1274"/>
      <c r="P27" s="1274"/>
      <c r="Q27" s="1274">
        <f>L27+O27</f>
        <v>6000</v>
      </c>
      <c r="R27" s="1274">
        <f t="shared" ref="R27" si="8">M27+P27</f>
        <v>0</v>
      </c>
      <c r="S27" s="1316">
        <f>Q27+R27</f>
        <v>6000</v>
      </c>
    </row>
    <row r="28" spans="1:19" x14ac:dyDescent="0.2">
      <c r="A28" s="1376">
        <f t="shared" si="0"/>
        <v>18</v>
      </c>
      <c r="B28" s="121"/>
      <c r="C28" s="95"/>
      <c r="D28" s="95"/>
      <c r="E28" s="95"/>
      <c r="F28" s="95"/>
      <c r="G28" s="95"/>
      <c r="H28" s="95"/>
      <c r="I28" s="95"/>
      <c r="J28" s="1294"/>
      <c r="K28" s="95" t="s">
        <v>31</v>
      </c>
      <c r="L28" s="1274"/>
      <c r="M28" s="1274"/>
      <c r="N28" s="1274"/>
      <c r="O28" s="1274"/>
      <c r="P28" s="1274"/>
      <c r="Q28" s="205"/>
      <c r="R28" s="205"/>
      <c r="S28" s="1313"/>
    </row>
    <row r="29" spans="1:19" x14ac:dyDescent="0.2">
      <c r="A29" s="1376">
        <f t="shared" si="0"/>
        <v>19</v>
      </c>
      <c r="B29" s="1279" t="s">
        <v>50</v>
      </c>
      <c r="C29" s="95"/>
      <c r="D29" s="95"/>
      <c r="E29" s="95"/>
      <c r="F29" s="95"/>
      <c r="G29" s="95"/>
      <c r="H29" s="95"/>
      <c r="I29" s="95"/>
      <c r="J29" s="1294"/>
      <c r="K29" s="95" t="s">
        <v>32</v>
      </c>
      <c r="L29" s="1274"/>
      <c r="M29" s="1274"/>
      <c r="N29" s="1274"/>
      <c r="O29" s="1274"/>
      <c r="P29" s="1274"/>
      <c r="Q29" s="205"/>
      <c r="R29" s="205"/>
      <c r="S29" s="1313"/>
    </row>
    <row r="30" spans="1:19" s="100" customFormat="1" x14ac:dyDescent="0.2">
      <c r="A30" s="1376">
        <f t="shared" si="0"/>
        <v>20</v>
      </c>
      <c r="B30" s="1279" t="s">
        <v>48</v>
      </c>
      <c r="C30" s="95"/>
      <c r="D30" s="95"/>
      <c r="E30" s="95"/>
      <c r="F30" s="95"/>
      <c r="G30" s="95"/>
      <c r="H30" s="95"/>
      <c r="I30" s="95"/>
      <c r="J30" s="1294"/>
      <c r="K30" s="95" t="s">
        <v>472</v>
      </c>
      <c r="L30" s="1274"/>
      <c r="M30" s="1274"/>
      <c r="N30" s="1274"/>
      <c r="O30" s="1289"/>
      <c r="P30" s="1289"/>
      <c r="Q30" s="1280"/>
      <c r="R30" s="1280"/>
      <c r="S30" s="1314"/>
    </row>
    <row r="31" spans="1:19" x14ac:dyDescent="0.2">
      <c r="A31" s="1376">
        <f t="shared" si="0"/>
        <v>21</v>
      </c>
      <c r="B31" s="1279"/>
      <c r="C31" s="95"/>
      <c r="D31" s="95"/>
      <c r="E31" s="95"/>
      <c r="F31" s="95"/>
      <c r="G31" s="95"/>
      <c r="H31" s="95"/>
      <c r="I31" s="95"/>
      <c r="J31" s="1294"/>
      <c r="K31" s="95" t="s">
        <v>469</v>
      </c>
      <c r="L31" s="1274"/>
      <c r="M31" s="1274"/>
      <c r="N31" s="1274"/>
      <c r="O31" s="1274"/>
      <c r="P31" s="1274"/>
      <c r="Q31" s="205"/>
      <c r="R31" s="205"/>
      <c r="S31" s="1313"/>
    </row>
    <row r="32" spans="1:19" s="11" customFormat="1" x14ac:dyDescent="0.2">
      <c r="A32" s="1376">
        <f t="shared" si="0"/>
        <v>22</v>
      </c>
      <c r="B32" s="1284" t="s">
        <v>52</v>
      </c>
      <c r="C32" s="1285">
        <f>C14+C20</f>
        <v>56174</v>
      </c>
      <c r="D32" s="1285">
        <f>D14+D20</f>
        <v>47135</v>
      </c>
      <c r="E32" s="1285">
        <f>E14+E20</f>
        <v>103309</v>
      </c>
      <c r="F32" s="1285">
        <v>0</v>
      </c>
      <c r="G32" s="1285">
        <f>SUM(G14:G31)</f>
        <v>461</v>
      </c>
      <c r="H32" s="1285">
        <f>SUM(H14:H31)</f>
        <v>56174</v>
      </c>
      <c r="I32" s="1285">
        <f>SUM(I14:I31)</f>
        <v>47596</v>
      </c>
      <c r="J32" s="1332">
        <f>SUM(J14:J31)</f>
        <v>103770</v>
      </c>
      <c r="K32" s="95" t="s">
        <v>465</v>
      </c>
      <c r="L32" s="1274"/>
      <c r="M32" s="1274"/>
      <c r="N32" s="1274"/>
      <c r="O32" s="1273"/>
      <c r="P32" s="1273"/>
      <c r="Q32" s="1286"/>
      <c r="R32" s="1286"/>
      <c r="S32" s="1315"/>
    </row>
    <row r="33" spans="1:19" x14ac:dyDescent="0.2">
      <c r="A33" s="1376">
        <f t="shared" si="0"/>
        <v>23</v>
      </c>
      <c r="B33" s="1287" t="s">
        <v>67</v>
      </c>
      <c r="C33" s="1288"/>
      <c r="D33" s="1288"/>
      <c r="E33" s="1288"/>
      <c r="F33" s="1288"/>
      <c r="G33" s="1288"/>
      <c r="H33" s="1288"/>
      <c r="I33" s="1288"/>
      <c r="J33" s="1299"/>
      <c r="K33" s="1281" t="s">
        <v>68</v>
      </c>
      <c r="L33" s="1289">
        <f>SUM(L27:L32)</f>
        <v>6000</v>
      </c>
      <c r="M33" s="1289">
        <f>SUM(M27:M32)</f>
        <v>0</v>
      </c>
      <c r="N33" s="1289">
        <f>SUM(N27:N31)</f>
        <v>6000</v>
      </c>
      <c r="O33" s="1289"/>
      <c r="P33" s="1289"/>
      <c r="Q33" s="1289">
        <f>SUM(Q27:Q32)</f>
        <v>6000</v>
      </c>
      <c r="R33" s="1289">
        <f>SUM(R27:R32)</f>
        <v>0</v>
      </c>
      <c r="S33" s="1330">
        <f>SUM(S27:S32)</f>
        <v>6000</v>
      </c>
    </row>
    <row r="34" spans="1:19" x14ac:dyDescent="0.2">
      <c r="A34" s="1376">
        <f t="shared" si="0"/>
        <v>24</v>
      </c>
      <c r="B34" s="126" t="s">
        <v>51</v>
      </c>
      <c r="C34" s="124">
        <f>SUM(C32:C33)</f>
        <v>56174</v>
      </c>
      <c r="D34" s="124">
        <f>SUM(D32:D33)</f>
        <v>47135</v>
      </c>
      <c r="E34" s="124">
        <f>SUM(C34:D34)</f>
        <v>103309</v>
      </c>
      <c r="F34" s="124">
        <f>F32+F33</f>
        <v>0</v>
      </c>
      <c r="G34" s="124">
        <f t="shared" ref="G34:J34" si="9">G32+G33</f>
        <v>461</v>
      </c>
      <c r="H34" s="124">
        <f t="shared" si="9"/>
        <v>56174</v>
      </c>
      <c r="I34" s="124">
        <f t="shared" si="9"/>
        <v>47596</v>
      </c>
      <c r="J34" s="1293">
        <f t="shared" si="9"/>
        <v>103770</v>
      </c>
      <c r="K34" s="124" t="s">
        <v>69</v>
      </c>
      <c r="L34" s="1273">
        <f>L24+L33</f>
        <v>426616</v>
      </c>
      <c r="M34" s="1273">
        <f>M24+M33</f>
        <v>92076</v>
      </c>
      <c r="N34" s="1273">
        <f>N24+N33</f>
        <v>518692</v>
      </c>
      <c r="O34" s="1273">
        <f>O24+O33</f>
        <v>1501</v>
      </c>
      <c r="P34" s="1273">
        <f t="shared" ref="P34:S34" si="10">P24+P33</f>
        <v>7866</v>
      </c>
      <c r="Q34" s="1273">
        <f t="shared" si="10"/>
        <v>428117</v>
      </c>
      <c r="R34" s="1273">
        <f t="shared" si="10"/>
        <v>99942</v>
      </c>
      <c r="S34" s="1331">
        <f t="shared" si="10"/>
        <v>528059</v>
      </c>
    </row>
    <row r="35" spans="1:19" x14ac:dyDescent="0.2">
      <c r="A35" s="1376">
        <f t="shared" si="0"/>
        <v>25</v>
      </c>
      <c r="B35" s="1279"/>
      <c r="C35" s="122"/>
      <c r="D35" s="122"/>
      <c r="E35" s="122"/>
      <c r="F35" s="122"/>
      <c r="G35" s="122"/>
      <c r="H35" s="122"/>
      <c r="I35" s="122"/>
      <c r="J35" s="1300"/>
      <c r="K35" s="122"/>
      <c r="L35" s="1274"/>
      <c r="M35" s="1274"/>
      <c r="N35" s="1274"/>
      <c r="O35" s="1274"/>
      <c r="P35" s="1274"/>
      <c r="Q35" s="1274"/>
      <c r="R35" s="1274"/>
      <c r="S35" s="1316"/>
    </row>
    <row r="36" spans="1:19" x14ac:dyDescent="0.2">
      <c r="A36" s="1376">
        <f t="shared" si="0"/>
        <v>26</v>
      </c>
      <c r="B36" s="1279"/>
      <c r="C36" s="122"/>
      <c r="D36" s="122"/>
      <c r="E36" s="122"/>
      <c r="F36" s="122"/>
      <c r="G36" s="122"/>
      <c r="H36" s="122"/>
      <c r="I36" s="122"/>
      <c r="J36" s="1300"/>
      <c r="K36" s="1282"/>
      <c r="L36" s="1283"/>
      <c r="M36" s="1283"/>
      <c r="N36" s="1283"/>
      <c r="O36" s="1274"/>
      <c r="P36" s="1274"/>
      <c r="Q36" s="1274"/>
      <c r="R36" s="1274"/>
      <c r="S36" s="1316"/>
    </row>
    <row r="37" spans="1:19" s="11" customFormat="1" x14ac:dyDescent="0.2">
      <c r="A37" s="1376">
        <f t="shared" si="0"/>
        <v>27</v>
      </c>
      <c r="B37" s="1279"/>
      <c r="C37" s="122"/>
      <c r="D37" s="122"/>
      <c r="E37" s="122"/>
      <c r="F37" s="122"/>
      <c r="G37" s="122"/>
      <c r="H37" s="122"/>
      <c r="I37" s="122"/>
      <c r="J37" s="1300"/>
      <c r="K37" s="122"/>
      <c r="L37" s="1274"/>
      <c r="M37" s="1274"/>
      <c r="N37" s="1274"/>
      <c r="O37" s="1273"/>
      <c r="P37" s="1273"/>
      <c r="Q37" s="1273"/>
      <c r="R37" s="1273"/>
      <c r="S37" s="1331"/>
    </row>
    <row r="38" spans="1:19" s="11" customFormat="1" x14ac:dyDescent="0.2">
      <c r="A38" s="1376">
        <f t="shared" si="0"/>
        <v>28</v>
      </c>
      <c r="B38" s="1272" t="s">
        <v>53</v>
      </c>
      <c r="C38" s="1272"/>
      <c r="D38" s="1272"/>
      <c r="E38" s="1272"/>
      <c r="F38" s="1272"/>
      <c r="G38" s="1272"/>
      <c r="H38" s="1272"/>
      <c r="I38" s="1272"/>
      <c r="J38" s="1298"/>
      <c r="K38" s="1272" t="s">
        <v>33</v>
      </c>
      <c r="L38" s="1273"/>
      <c r="M38" s="1273"/>
      <c r="N38" s="1273"/>
      <c r="O38" s="1273"/>
      <c r="P38" s="1273"/>
      <c r="Q38" s="1273"/>
      <c r="R38" s="1273"/>
      <c r="S38" s="1331"/>
    </row>
    <row r="39" spans="1:19" s="11" customFormat="1" x14ac:dyDescent="0.2">
      <c r="A39" s="1376">
        <f t="shared" si="0"/>
        <v>29</v>
      </c>
      <c r="B39" s="1290" t="s">
        <v>725</v>
      </c>
      <c r="C39" s="1272"/>
      <c r="D39" s="1272"/>
      <c r="E39" s="1272"/>
      <c r="F39" s="1272"/>
      <c r="G39" s="1272"/>
      <c r="H39" s="1272"/>
      <c r="I39" s="1272"/>
      <c r="J39" s="1298"/>
      <c r="K39" s="1290" t="s">
        <v>4</v>
      </c>
      <c r="L39" s="1273"/>
      <c r="M39" s="1286"/>
      <c r="N39" s="1286"/>
      <c r="O39" s="1273"/>
      <c r="P39" s="1273"/>
      <c r="Q39" s="1273"/>
      <c r="R39" s="1273"/>
      <c r="S39" s="1331"/>
    </row>
    <row r="40" spans="1:19" s="11" customFormat="1" x14ac:dyDescent="0.2">
      <c r="A40" s="1376">
        <f t="shared" si="0"/>
        <v>30</v>
      </c>
      <c r="B40" s="121" t="s">
        <v>1015</v>
      </c>
      <c r="C40" s="1272"/>
      <c r="D40" s="1272"/>
      <c r="E40" s="1272"/>
      <c r="F40" s="1272"/>
      <c r="G40" s="1272"/>
      <c r="H40" s="1272"/>
      <c r="I40" s="1272"/>
      <c r="J40" s="1298"/>
      <c r="K40" s="121" t="s">
        <v>3</v>
      </c>
      <c r="L40" s="1273"/>
      <c r="M40" s="1273"/>
      <c r="N40" s="1273"/>
      <c r="O40" s="1273"/>
      <c r="P40" s="1273"/>
      <c r="Q40" s="1273"/>
      <c r="R40" s="1273"/>
      <c r="S40" s="1331"/>
    </row>
    <row r="41" spans="1:19" x14ac:dyDescent="0.2">
      <c r="A41" s="1376">
        <f t="shared" si="0"/>
        <v>31</v>
      </c>
      <c r="B41" s="95" t="s">
        <v>727</v>
      </c>
      <c r="C41" s="1291"/>
      <c r="D41" s="1291"/>
      <c r="E41" s="1291"/>
      <c r="F41" s="1291"/>
      <c r="G41" s="1291"/>
      <c r="H41" s="1291"/>
      <c r="I41" s="1291"/>
      <c r="J41" s="1301"/>
      <c r="K41" s="95" t="s">
        <v>5</v>
      </c>
      <c r="L41" s="1273"/>
      <c r="M41" s="1273"/>
      <c r="N41" s="1273"/>
      <c r="O41" s="1274"/>
      <c r="P41" s="1274"/>
      <c r="Q41" s="1274"/>
      <c r="R41" s="1274"/>
      <c r="S41" s="1316"/>
    </row>
    <row r="42" spans="1:19" x14ac:dyDescent="0.2">
      <c r="A42" s="1376">
        <f t="shared" si="0"/>
        <v>32</v>
      </c>
      <c r="B42" s="95" t="s">
        <v>222</v>
      </c>
      <c r="C42" s="95"/>
      <c r="D42" s="95"/>
      <c r="E42" s="95"/>
      <c r="F42" s="95"/>
      <c r="G42" s="95"/>
      <c r="H42" s="95"/>
      <c r="I42" s="95"/>
      <c r="J42" s="1294"/>
      <c r="K42" s="95" t="s">
        <v>6</v>
      </c>
      <c r="L42" s="1273"/>
      <c r="M42" s="1273"/>
      <c r="N42" s="1273"/>
      <c r="O42" s="1274"/>
      <c r="P42" s="1274"/>
      <c r="Q42" s="1274"/>
      <c r="R42" s="1274"/>
      <c r="S42" s="1316"/>
    </row>
    <row r="43" spans="1:19" x14ac:dyDescent="0.2">
      <c r="A43" s="1376">
        <f t="shared" si="0"/>
        <v>33</v>
      </c>
      <c r="B43" s="1292" t="s">
        <v>289</v>
      </c>
      <c r="C43" s="95"/>
      <c r="D43" s="95"/>
      <c r="E43" s="95">
        <f>C43+D43</f>
        <v>0</v>
      </c>
      <c r="F43" s="95">
        <v>1501</v>
      </c>
      <c r="G43" s="95"/>
      <c r="H43" s="95">
        <f>F43+C43</f>
        <v>1501</v>
      </c>
      <c r="I43" s="95">
        <f>G43+D43</f>
        <v>0</v>
      </c>
      <c r="J43" s="1294">
        <f>H43+I43</f>
        <v>1501</v>
      </c>
      <c r="K43" s="95" t="s">
        <v>7</v>
      </c>
      <c r="L43" s="1273"/>
      <c r="M43" s="1273"/>
      <c r="N43" s="1273"/>
      <c r="O43" s="1274"/>
      <c r="P43" s="1274"/>
      <c r="Q43" s="1274"/>
      <c r="R43" s="1274"/>
      <c r="S43" s="1316"/>
    </row>
    <row r="44" spans="1:19" x14ac:dyDescent="0.2">
      <c r="A44" s="1376">
        <f t="shared" si="0"/>
        <v>34</v>
      </c>
      <c r="B44" s="1292" t="s">
        <v>1012</v>
      </c>
      <c r="C44" s="95"/>
      <c r="D44" s="95"/>
      <c r="E44" s="95"/>
      <c r="F44" s="95"/>
      <c r="G44" s="95"/>
      <c r="H44" s="95"/>
      <c r="I44" s="95"/>
      <c r="J44" s="1294"/>
      <c r="K44" s="95"/>
      <c r="L44" s="1273"/>
      <c r="M44" s="1273"/>
      <c r="N44" s="1273"/>
      <c r="O44" s="1274"/>
      <c r="P44" s="1274"/>
      <c r="Q44" s="1274"/>
      <c r="R44" s="1274"/>
      <c r="S44" s="1316"/>
    </row>
    <row r="45" spans="1:19" x14ac:dyDescent="0.2">
      <c r="A45" s="1376">
        <f t="shared" si="0"/>
        <v>35</v>
      </c>
      <c r="B45" s="95" t="s">
        <v>728</v>
      </c>
      <c r="C45" s="95"/>
      <c r="D45" s="95"/>
      <c r="E45" s="95"/>
      <c r="F45" s="95"/>
      <c r="G45" s="95"/>
      <c r="H45" s="95"/>
      <c r="I45" s="95"/>
      <c r="J45" s="1294"/>
      <c r="K45" s="95" t="s">
        <v>8</v>
      </c>
      <c r="L45" s="1273"/>
      <c r="M45" s="1273"/>
      <c r="N45" s="1274"/>
      <c r="O45" s="1274"/>
      <c r="P45" s="1274"/>
      <c r="Q45" s="1274"/>
      <c r="R45" s="1274"/>
      <c r="S45" s="1316"/>
    </row>
    <row r="46" spans="1:19" x14ac:dyDescent="0.2">
      <c r="A46" s="1376">
        <f t="shared" si="0"/>
        <v>36</v>
      </c>
      <c r="B46" s="95" t="s">
        <v>729</v>
      </c>
      <c r="C46" s="1272"/>
      <c r="D46" s="1272"/>
      <c r="E46" s="1272"/>
      <c r="F46" s="1272"/>
      <c r="G46" s="1272"/>
      <c r="H46" s="1272"/>
      <c r="I46" s="1272"/>
      <c r="J46" s="1298"/>
      <c r="K46" s="95" t="s">
        <v>9</v>
      </c>
      <c r="L46" s="1273"/>
      <c r="M46" s="1273"/>
      <c r="N46" s="1274"/>
      <c r="O46" s="1274"/>
      <c r="P46" s="1274"/>
      <c r="Q46" s="1274"/>
      <c r="R46" s="1274"/>
      <c r="S46" s="1316"/>
    </row>
    <row r="47" spans="1:19" x14ac:dyDescent="0.2">
      <c r="A47" s="1376">
        <f t="shared" si="0"/>
        <v>37</v>
      </c>
      <c r="B47" s="95" t="s">
        <v>226</v>
      </c>
      <c r="C47" s="95"/>
      <c r="D47" s="95"/>
      <c r="E47" s="95"/>
      <c r="F47" s="95"/>
      <c r="G47" s="95"/>
      <c r="H47" s="95"/>
      <c r="I47" s="95"/>
      <c r="J47" s="1294"/>
      <c r="K47" s="95" t="s">
        <v>10</v>
      </c>
      <c r="L47" s="1274"/>
      <c r="M47" s="1274"/>
      <c r="N47" s="1274"/>
      <c r="O47" s="1274"/>
      <c r="P47" s="1274"/>
      <c r="Q47" s="1274"/>
      <c r="R47" s="1274"/>
      <c r="S47" s="1316"/>
    </row>
    <row r="48" spans="1:19" x14ac:dyDescent="0.2">
      <c r="A48" s="1376">
        <f t="shared" si="0"/>
        <v>38</v>
      </c>
      <c r="B48" s="1292" t="s">
        <v>227</v>
      </c>
      <c r="C48" s="95">
        <f>L24-(C34+C43)</f>
        <v>364442</v>
      </c>
      <c r="D48" s="95">
        <f>M24-(D34+D43)</f>
        <v>44941</v>
      </c>
      <c r="E48" s="95">
        <f>N24-(E34+E43)</f>
        <v>409383</v>
      </c>
      <c r="F48" s="95">
        <f t="shared" ref="F48:J48" si="11">O24-(F34+F43)</f>
        <v>0</v>
      </c>
      <c r="G48" s="95">
        <f t="shared" si="11"/>
        <v>7405</v>
      </c>
      <c r="H48" s="95">
        <f t="shared" si="11"/>
        <v>364442</v>
      </c>
      <c r="I48" s="95">
        <f t="shared" si="11"/>
        <v>52346</v>
      </c>
      <c r="J48" s="1294">
        <f t="shared" si="11"/>
        <v>416788</v>
      </c>
      <c r="K48" s="95" t="s">
        <v>11</v>
      </c>
      <c r="L48" s="1274"/>
      <c r="M48" s="1274"/>
      <c r="N48" s="1274"/>
      <c r="O48" s="1274"/>
      <c r="P48" s="1274"/>
      <c r="Q48" s="1274"/>
      <c r="R48" s="1274"/>
      <c r="S48" s="1316"/>
    </row>
    <row r="49" spans="1:19" x14ac:dyDescent="0.2">
      <c r="A49" s="1376">
        <f t="shared" si="0"/>
        <v>39</v>
      </c>
      <c r="B49" s="1292" t="s">
        <v>228</v>
      </c>
      <c r="C49" s="95">
        <f>L33-C33</f>
        <v>6000</v>
      </c>
      <c r="D49" s="95">
        <f>M33-D33</f>
        <v>0</v>
      </c>
      <c r="E49" s="95">
        <f>N33-E33</f>
        <v>6000</v>
      </c>
      <c r="F49" s="95">
        <f t="shared" ref="F49:J49" si="12">O33-F33</f>
        <v>0</v>
      </c>
      <c r="G49" s="95">
        <f t="shared" si="12"/>
        <v>0</v>
      </c>
      <c r="H49" s="95">
        <f t="shared" si="12"/>
        <v>6000</v>
      </c>
      <c r="I49" s="95">
        <f t="shared" si="12"/>
        <v>0</v>
      </c>
      <c r="J49" s="1294">
        <f t="shared" si="12"/>
        <v>6000</v>
      </c>
      <c r="K49" s="95" t="s">
        <v>12</v>
      </c>
      <c r="L49" s="1274"/>
      <c r="M49" s="1274"/>
      <c r="N49" s="1274"/>
      <c r="O49" s="1274"/>
      <c r="P49" s="1274"/>
      <c r="Q49" s="1274"/>
      <c r="R49" s="1274"/>
      <c r="S49" s="1316"/>
    </row>
    <row r="50" spans="1:19" x14ac:dyDescent="0.2">
      <c r="A50" s="1376">
        <f t="shared" si="0"/>
        <v>40</v>
      </c>
      <c r="B50" s="95" t="s">
        <v>1</v>
      </c>
      <c r="C50" s="95"/>
      <c r="D50" s="95"/>
      <c r="E50" s="95"/>
      <c r="F50" s="95"/>
      <c r="G50" s="95"/>
      <c r="H50" s="95"/>
      <c r="I50" s="95"/>
      <c r="J50" s="1294"/>
      <c r="K50" s="95" t="s">
        <v>13</v>
      </c>
      <c r="L50" s="1274"/>
      <c r="M50" s="1274"/>
      <c r="N50" s="1274"/>
      <c r="O50" s="1274"/>
      <c r="P50" s="1274"/>
      <c r="Q50" s="1274"/>
      <c r="R50" s="1274"/>
      <c r="S50" s="1316"/>
    </row>
    <row r="51" spans="1:19" x14ac:dyDescent="0.2">
      <c r="A51" s="1376">
        <f t="shared" si="0"/>
        <v>41</v>
      </c>
      <c r="B51" s="95"/>
      <c r="C51" s="95"/>
      <c r="D51" s="95"/>
      <c r="E51" s="95"/>
      <c r="F51" s="95"/>
      <c r="G51" s="95"/>
      <c r="H51" s="95"/>
      <c r="I51" s="95"/>
      <c r="J51" s="1294"/>
      <c r="K51" s="95" t="s">
        <v>14</v>
      </c>
      <c r="L51" s="1274"/>
      <c r="M51" s="1274"/>
      <c r="N51" s="1274"/>
      <c r="O51" s="1274"/>
      <c r="P51" s="1274"/>
      <c r="Q51" s="1274"/>
      <c r="R51" s="1274"/>
      <c r="S51" s="1316"/>
    </row>
    <row r="52" spans="1:19" x14ac:dyDescent="0.2">
      <c r="A52" s="1376">
        <f t="shared" si="0"/>
        <v>42</v>
      </c>
      <c r="B52" s="95"/>
      <c r="C52" s="95"/>
      <c r="D52" s="95"/>
      <c r="E52" s="95"/>
      <c r="F52" s="95"/>
      <c r="G52" s="95"/>
      <c r="H52" s="95"/>
      <c r="I52" s="95"/>
      <c r="J52" s="1294"/>
      <c r="K52" s="95" t="s">
        <v>15</v>
      </c>
      <c r="L52" s="1274"/>
      <c r="M52" s="1274"/>
      <c r="N52" s="1274"/>
      <c r="O52" s="1274"/>
      <c r="P52" s="1274"/>
      <c r="Q52" s="1274"/>
      <c r="R52" s="1274"/>
      <c r="S52" s="1316"/>
    </row>
    <row r="53" spans="1:19" ht="12" thickBot="1" x14ac:dyDescent="0.25">
      <c r="A53" s="1376">
        <f t="shared" si="0"/>
        <v>43</v>
      </c>
      <c r="B53" s="126" t="s">
        <v>473</v>
      </c>
      <c r="C53" s="1272">
        <f>SUM(C39:C51)</f>
        <v>370442</v>
      </c>
      <c r="D53" s="1272">
        <f>SUM(D39:D51)</f>
        <v>44941</v>
      </c>
      <c r="E53" s="1272">
        <f>SUM(E39:E51)</f>
        <v>415383</v>
      </c>
      <c r="F53" s="1272">
        <f t="shared" ref="F53:J53" si="13">SUM(F39:F51)</f>
        <v>1501</v>
      </c>
      <c r="G53" s="1272">
        <f t="shared" si="13"/>
        <v>7405</v>
      </c>
      <c r="H53" s="1272">
        <f t="shared" si="13"/>
        <v>371943</v>
      </c>
      <c r="I53" s="1272">
        <f t="shared" si="13"/>
        <v>52346</v>
      </c>
      <c r="J53" s="1298">
        <f t="shared" si="13"/>
        <v>424289</v>
      </c>
      <c r="K53" s="1272" t="s">
        <v>466</v>
      </c>
      <c r="L53" s="1273">
        <f>SUM(L39:L52)</f>
        <v>0</v>
      </c>
      <c r="M53" s="1273">
        <f>SUM(M39:M52)</f>
        <v>0</v>
      </c>
      <c r="N53" s="1273">
        <f>SUM(N39:N52)</f>
        <v>0</v>
      </c>
      <c r="O53" s="1273"/>
      <c r="P53" s="1273"/>
      <c r="Q53" s="1273">
        <f>L53+O53</f>
        <v>0</v>
      </c>
      <c r="R53" s="1273">
        <f>M53+P53</f>
        <v>0</v>
      </c>
      <c r="S53" s="1339">
        <f>Q53+R53</f>
        <v>0</v>
      </c>
    </row>
    <row r="54" spans="1:19" ht="12" thickBot="1" x14ac:dyDescent="0.25">
      <c r="A54" s="737">
        <f t="shared" si="0"/>
        <v>44</v>
      </c>
      <c r="B54" s="1317" t="s">
        <v>468</v>
      </c>
      <c r="C54" s="697">
        <f>C34+C53</f>
        <v>426616</v>
      </c>
      <c r="D54" s="697">
        <f>D34+D53</f>
        <v>92076</v>
      </c>
      <c r="E54" s="697">
        <f>E34+E53</f>
        <v>518692</v>
      </c>
      <c r="F54" s="697">
        <f>F34+F53</f>
        <v>1501</v>
      </c>
      <c r="G54" s="697">
        <f>G34+G53</f>
        <v>7866</v>
      </c>
      <c r="H54" s="697">
        <f t="shared" ref="H54:J54" si="14">H34+H53</f>
        <v>428117</v>
      </c>
      <c r="I54" s="697">
        <f t="shared" si="14"/>
        <v>99942</v>
      </c>
      <c r="J54" s="1338">
        <f t="shared" si="14"/>
        <v>528059</v>
      </c>
      <c r="K54" s="1317" t="s">
        <v>467</v>
      </c>
      <c r="L54" s="739">
        <f>L34+L53</f>
        <v>426616</v>
      </c>
      <c r="M54" s="739">
        <f>M34+M53</f>
        <v>92076</v>
      </c>
      <c r="N54" s="739">
        <f>N34+N53</f>
        <v>518692</v>
      </c>
      <c r="O54" s="739">
        <f>O34+O53</f>
        <v>1501</v>
      </c>
      <c r="P54" s="739">
        <f t="shared" ref="P54:S54" si="15">P34+P53</f>
        <v>7866</v>
      </c>
      <c r="Q54" s="739">
        <f t="shared" si="15"/>
        <v>428117</v>
      </c>
      <c r="R54" s="739">
        <f t="shared" si="15"/>
        <v>99942</v>
      </c>
      <c r="S54" s="1318">
        <f t="shared" si="15"/>
        <v>528059</v>
      </c>
    </row>
    <row r="55" spans="1:19" x14ac:dyDescent="0.2">
      <c r="B55" s="128"/>
      <c r="C55" s="127"/>
      <c r="D55" s="127"/>
      <c r="E55" s="127"/>
      <c r="F55" s="127"/>
      <c r="G55" s="127"/>
      <c r="H55" s="127"/>
      <c r="I55" s="127"/>
      <c r="J55" s="127"/>
      <c r="K55" s="127"/>
      <c r="L55" s="131"/>
      <c r="M55" s="131"/>
      <c r="N55" s="131"/>
    </row>
  </sheetData>
  <sheetProtection selectLockedCells="1" selectUnlockedCells="1"/>
  <mergeCells count="16">
    <mergeCell ref="A8:A10"/>
    <mergeCell ref="B8:B9"/>
    <mergeCell ref="C9:E9"/>
    <mergeCell ref="L9:N9"/>
    <mergeCell ref="F9:G9"/>
    <mergeCell ref="H9:J9"/>
    <mergeCell ref="C8:J8"/>
    <mergeCell ref="K8:K9"/>
    <mergeCell ref="O9:P9"/>
    <mergeCell ref="Q9:S9"/>
    <mergeCell ref="L8:S8"/>
    <mergeCell ref="B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8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D46"/>
  <sheetViews>
    <sheetView topLeftCell="A4" zoomScale="120" workbookViewId="0">
      <selection activeCell="C7" sqref="C7:E7"/>
    </sheetView>
  </sheetViews>
  <sheetFormatPr defaultColWidth="9.140625" defaultRowHeight="11.25" x14ac:dyDescent="0.2"/>
  <cols>
    <col min="1" max="1" width="4.85546875" style="116" customWidth="1"/>
    <col min="2" max="2" width="41.85546875" style="116" customWidth="1"/>
    <col min="3" max="3" width="10.140625" style="117" customWidth="1"/>
    <col min="4" max="4" width="11.140625" style="117" customWidth="1"/>
    <col min="5" max="10" width="11.28515625" style="117" customWidth="1"/>
    <col min="11" max="11" width="32.42578125" style="117" customWidth="1"/>
    <col min="12" max="12" width="11.5703125" style="117" customWidth="1"/>
    <col min="13" max="13" width="14.7109375" style="117" customWidth="1"/>
    <col min="14" max="14" width="14.5703125" style="117" customWidth="1"/>
    <col min="15" max="16" width="9.140625" style="116"/>
    <col min="17" max="17" width="10.42578125" style="116" customWidth="1"/>
    <col min="18" max="18" width="10.5703125" style="116" customWidth="1"/>
    <col min="19" max="19" width="13.28515625" style="116" customWidth="1"/>
    <col min="20" max="30" width="9.140625" style="116"/>
    <col min="31" max="16384" width="9.140625" style="10"/>
  </cols>
  <sheetData>
    <row r="1" spans="1:30" ht="12.75" customHeight="1" x14ac:dyDescent="0.2">
      <c r="B1" s="1386" t="s">
        <v>1259</v>
      </c>
      <c r="C1" s="1386"/>
      <c r="D1" s="1386"/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534"/>
    </row>
    <row r="2" spans="1:30" x14ac:dyDescent="0.2">
      <c r="B2" s="410"/>
      <c r="N2" s="118"/>
    </row>
    <row r="3" spans="1:30" s="98" customFormat="1" x14ac:dyDescent="0.2">
      <c r="A3" s="119"/>
      <c r="B3" s="1387" t="s">
        <v>54</v>
      </c>
      <c r="C3" s="1387"/>
      <c r="D3" s="1387"/>
      <c r="E3" s="1387"/>
      <c r="F3" s="1387"/>
      <c r="G3" s="1387"/>
      <c r="H3" s="1387"/>
      <c r="I3" s="1387"/>
      <c r="J3" s="1387"/>
      <c r="K3" s="1387"/>
      <c r="L3" s="1387"/>
      <c r="M3" s="1387"/>
      <c r="N3" s="138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</row>
    <row r="4" spans="1:30" s="98" customFormat="1" x14ac:dyDescent="0.2">
      <c r="A4" s="119"/>
      <c r="B4" s="1387" t="s">
        <v>1116</v>
      </c>
      <c r="C4" s="1387"/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</row>
    <row r="5" spans="1:30" s="98" customFormat="1" ht="12.75" customHeight="1" x14ac:dyDescent="0.2">
      <c r="A5" s="1412" t="s">
        <v>325</v>
      </c>
      <c r="B5" s="1412"/>
      <c r="C5" s="1412"/>
      <c r="D5" s="1412"/>
      <c r="E5" s="1412"/>
      <c r="F5" s="1412"/>
      <c r="G5" s="1412"/>
      <c r="H5" s="1412"/>
      <c r="I5" s="1412"/>
      <c r="J5" s="1412"/>
      <c r="K5" s="1412"/>
      <c r="L5" s="1412"/>
      <c r="M5" s="1412"/>
      <c r="N5" s="1412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</row>
    <row r="6" spans="1:30" s="98" customFormat="1" ht="12.75" customHeight="1" x14ac:dyDescent="0.2">
      <c r="A6" s="1413" t="s">
        <v>56</v>
      </c>
      <c r="B6" s="1415" t="s">
        <v>57</v>
      </c>
      <c r="C6" s="1417" t="s">
        <v>58</v>
      </c>
      <c r="D6" s="1418"/>
      <c r="E6" s="1418"/>
      <c r="F6" s="1418"/>
      <c r="G6" s="1418"/>
      <c r="H6" s="1418"/>
      <c r="I6" s="1418"/>
      <c r="J6" s="1419"/>
      <c r="K6" s="1416" t="s">
        <v>59</v>
      </c>
      <c r="L6" s="1408" t="s">
        <v>60</v>
      </c>
      <c r="M6" s="1409"/>
      <c r="N6" s="1409"/>
      <c r="O6" s="1409"/>
      <c r="P6" s="1409"/>
      <c r="Q6" s="1409"/>
      <c r="R6" s="1409"/>
      <c r="S6" s="1409"/>
      <c r="T6" s="119"/>
      <c r="U6" s="119"/>
      <c r="V6" s="119"/>
      <c r="W6" s="119"/>
      <c r="X6" s="119"/>
    </row>
    <row r="7" spans="1:30" s="98" customFormat="1" ht="12.75" customHeight="1" x14ac:dyDescent="0.2">
      <c r="A7" s="1413"/>
      <c r="B7" s="1415"/>
      <c r="C7" s="1396" t="s">
        <v>1271</v>
      </c>
      <c r="D7" s="1396"/>
      <c r="E7" s="1397"/>
      <c r="F7" s="1390" t="s">
        <v>1269</v>
      </c>
      <c r="G7" s="1391"/>
      <c r="H7" s="1390" t="s">
        <v>1270</v>
      </c>
      <c r="I7" s="1390"/>
      <c r="J7" s="1390"/>
      <c r="K7" s="1416"/>
      <c r="L7" s="1410" t="s">
        <v>1117</v>
      </c>
      <c r="M7" s="1410"/>
      <c r="N7" s="1411"/>
      <c r="O7" s="1390" t="s">
        <v>1269</v>
      </c>
      <c r="P7" s="1391"/>
      <c r="Q7" s="1390" t="s">
        <v>1270</v>
      </c>
      <c r="R7" s="1390"/>
      <c r="S7" s="1390"/>
      <c r="T7" s="119"/>
      <c r="U7" s="119"/>
      <c r="V7" s="119"/>
      <c r="W7" s="119"/>
      <c r="X7" s="119"/>
    </row>
    <row r="8" spans="1:30" s="99" customFormat="1" ht="36.6" customHeight="1" x14ac:dyDescent="0.2">
      <c r="A8" s="1414"/>
      <c r="B8" s="743" t="s">
        <v>61</v>
      </c>
      <c r="C8" s="744" t="s">
        <v>62</v>
      </c>
      <c r="D8" s="744" t="s">
        <v>63</v>
      </c>
      <c r="E8" s="745" t="s">
        <v>64</v>
      </c>
      <c r="F8" s="702" t="s">
        <v>62</v>
      </c>
      <c r="G8" s="703" t="s">
        <v>63</v>
      </c>
      <c r="H8" s="702" t="s">
        <v>62</v>
      </c>
      <c r="I8" s="702" t="s">
        <v>63</v>
      </c>
      <c r="J8" s="703" t="s">
        <v>64</v>
      </c>
      <c r="K8" s="746" t="s">
        <v>65</v>
      </c>
      <c r="L8" s="744" t="s">
        <v>62</v>
      </c>
      <c r="M8" s="744" t="s">
        <v>63</v>
      </c>
      <c r="N8" s="744" t="s">
        <v>64</v>
      </c>
      <c r="O8" s="702" t="s">
        <v>62</v>
      </c>
      <c r="P8" s="703" t="s">
        <v>63</v>
      </c>
      <c r="Q8" s="702" t="s">
        <v>62</v>
      </c>
      <c r="R8" s="702" t="s">
        <v>63</v>
      </c>
      <c r="S8" s="703" t="s">
        <v>64</v>
      </c>
      <c r="T8" s="129"/>
      <c r="U8" s="129"/>
      <c r="V8" s="129"/>
      <c r="W8" s="129"/>
      <c r="X8" s="129"/>
    </row>
    <row r="9" spans="1:30" ht="11.45" customHeight="1" x14ac:dyDescent="0.2">
      <c r="A9" s="747">
        <v>1</v>
      </c>
      <c r="B9" s="748" t="s">
        <v>24</v>
      </c>
      <c r="C9" s="720"/>
      <c r="D9" s="720"/>
      <c r="E9" s="720"/>
      <c r="F9" s="720"/>
      <c r="G9" s="720"/>
      <c r="H9" s="720"/>
      <c r="I9" s="720"/>
      <c r="J9" s="720"/>
      <c r="K9" s="719" t="s">
        <v>25</v>
      </c>
      <c r="L9" s="720"/>
      <c r="M9" s="720"/>
      <c r="N9" s="714"/>
      <c r="O9" s="709"/>
      <c r="P9" s="709"/>
      <c r="Q9" s="709"/>
      <c r="R9" s="709"/>
      <c r="S9" s="709"/>
      <c r="Y9" s="10"/>
      <c r="Z9" s="10"/>
      <c r="AA9" s="10"/>
      <c r="AB9" s="10"/>
      <c r="AC9" s="10"/>
      <c r="AD9" s="10"/>
    </row>
    <row r="10" spans="1:30" x14ac:dyDescent="0.2">
      <c r="A10" s="747">
        <f>A9+1</f>
        <v>2</v>
      </c>
      <c r="B10" s="749" t="s">
        <v>35</v>
      </c>
      <c r="C10" s="712"/>
      <c r="D10" s="712"/>
      <c r="E10" s="712">
        <f>SUM(C10:D10)</f>
        <v>0</v>
      </c>
      <c r="F10" s="712"/>
      <c r="G10" s="712"/>
      <c r="H10" s="712"/>
      <c r="I10" s="712"/>
      <c r="J10" s="712"/>
      <c r="K10" s="712" t="s">
        <v>26</v>
      </c>
      <c r="L10" s="712">
        <f>Össz.önkor.mérleg.!M10</f>
        <v>574562</v>
      </c>
      <c r="M10" s="712">
        <f>Össz.önkor.mérleg.!N10</f>
        <v>341812</v>
      </c>
      <c r="N10" s="712">
        <f>Össz.önkor.mérleg.!O10</f>
        <v>916374</v>
      </c>
      <c r="O10" s="709"/>
      <c r="P10" s="709"/>
      <c r="Q10" s="709"/>
      <c r="R10" s="709"/>
      <c r="S10" s="709"/>
      <c r="Y10" s="10"/>
      <c r="Z10" s="10"/>
      <c r="AA10" s="10"/>
      <c r="AB10" s="10"/>
      <c r="AC10" s="10"/>
      <c r="AD10" s="10"/>
    </row>
    <row r="11" spans="1:30" x14ac:dyDescent="0.2">
      <c r="A11" s="747">
        <f t="shared" ref="A11:A45" si="0">A10+1</f>
        <v>3</v>
      </c>
      <c r="B11" s="749" t="s">
        <v>36</v>
      </c>
      <c r="C11" s="712">
        <f>Össz.önkor.mérleg.!D11</f>
        <v>740982</v>
      </c>
      <c r="D11" s="712">
        <f>Össz.önkor.mérleg.!E11</f>
        <v>93769</v>
      </c>
      <c r="E11" s="712">
        <f>Össz.önkor.mérleg.!F11</f>
        <v>834751</v>
      </c>
      <c r="F11" s="712"/>
      <c r="G11" s="712"/>
      <c r="H11" s="712"/>
      <c r="I11" s="712"/>
      <c r="J11" s="712"/>
      <c r="K11" s="712" t="s">
        <v>27</v>
      </c>
      <c r="L11" s="712">
        <f>Össz.önkor.mérleg.!M11</f>
        <v>127979</v>
      </c>
      <c r="M11" s="712">
        <f>Össz.önkor.mérleg.!N11</f>
        <v>82755.320000000007</v>
      </c>
      <c r="N11" s="712">
        <f>Össz.önkor.mérleg.!O11</f>
        <v>210734.32</v>
      </c>
      <c r="O11" s="709"/>
      <c r="P11" s="709"/>
      <c r="Q11" s="709"/>
      <c r="R11" s="709"/>
      <c r="S11" s="709"/>
      <c r="Y11" s="10"/>
      <c r="Z11" s="10"/>
      <c r="AA11" s="10"/>
      <c r="AB11" s="10"/>
      <c r="AC11" s="10"/>
      <c r="AD11" s="10"/>
    </row>
    <row r="12" spans="1:30" x14ac:dyDescent="0.2">
      <c r="A12" s="747">
        <f t="shared" si="0"/>
        <v>4</v>
      </c>
      <c r="B12" s="749" t="s">
        <v>981</v>
      </c>
      <c r="C12" s="712">
        <f>Össz.önkor.mérleg.!D12</f>
        <v>0</v>
      </c>
      <c r="D12" s="712">
        <f>Össz.önkor.mérleg.!E12</f>
        <v>0</v>
      </c>
      <c r="E12" s="712">
        <f>Össz.önkor.mérleg.!F12</f>
        <v>0</v>
      </c>
      <c r="F12" s="712"/>
      <c r="G12" s="712"/>
      <c r="H12" s="712"/>
      <c r="I12" s="712"/>
      <c r="J12" s="712"/>
      <c r="K12" s="712" t="s">
        <v>29</v>
      </c>
      <c r="L12" s="712">
        <f>Össz.önkor.mérleg.!M12</f>
        <v>566793</v>
      </c>
      <c r="M12" s="712">
        <f>Össz.önkor.mérleg.!N12</f>
        <v>486300</v>
      </c>
      <c r="N12" s="712">
        <f>Össz.önkor.mérleg.!O12</f>
        <v>1053093</v>
      </c>
      <c r="O12" s="709"/>
      <c r="P12" s="709"/>
      <c r="Q12" s="709"/>
      <c r="R12" s="709"/>
      <c r="S12" s="709"/>
      <c r="Y12" s="10"/>
      <c r="Z12" s="10"/>
      <c r="AA12" s="10"/>
      <c r="AB12" s="10"/>
      <c r="AC12" s="10"/>
      <c r="AD12" s="10"/>
    </row>
    <row r="13" spans="1:30" ht="12" customHeight="1" x14ac:dyDescent="0.2">
      <c r="A13" s="747">
        <f t="shared" si="0"/>
        <v>5</v>
      </c>
      <c r="B13" s="749" t="s">
        <v>37</v>
      </c>
      <c r="C13" s="712">
        <f>Össz.önkor.mérleg.!D13</f>
        <v>31477</v>
      </c>
      <c r="D13" s="712">
        <f>Össz.önkor.mérleg.!E13</f>
        <v>5071</v>
      </c>
      <c r="E13" s="712">
        <f>Össz.önkor.mérleg.!F13</f>
        <v>36548</v>
      </c>
      <c r="F13" s="712"/>
      <c r="G13" s="712"/>
      <c r="H13" s="712"/>
      <c r="I13" s="712"/>
      <c r="J13" s="712"/>
      <c r="K13" s="712"/>
      <c r="L13" s="712">
        <f>Össz.önkor.mérleg.!M13</f>
        <v>0</v>
      </c>
      <c r="M13" s="712"/>
      <c r="N13" s="713"/>
      <c r="O13" s="709"/>
      <c r="P13" s="709"/>
      <c r="Q13" s="709"/>
      <c r="R13" s="709"/>
      <c r="S13" s="709"/>
      <c r="Y13" s="10"/>
      <c r="Z13" s="10"/>
      <c r="AA13" s="10"/>
      <c r="AB13" s="10"/>
      <c r="AC13" s="10"/>
      <c r="AD13" s="10"/>
    </row>
    <row r="14" spans="1:30" x14ac:dyDescent="0.2">
      <c r="A14" s="747">
        <f t="shared" si="0"/>
        <v>6</v>
      </c>
      <c r="B14" s="749" t="s">
        <v>39</v>
      </c>
      <c r="C14" s="712">
        <f>Össz.önkor.mérleg.!D17</f>
        <v>456306</v>
      </c>
      <c r="D14" s="712">
        <f>Össz.önkor.mérleg.!E17</f>
        <v>779014</v>
      </c>
      <c r="E14" s="712">
        <f>Össz.önkor.mérleg.!F17</f>
        <v>1235320</v>
      </c>
      <c r="F14" s="712"/>
      <c r="G14" s="712"/>
      <c r="H14" s="712"/>
      <c r="I14" s="712"/>
      <c r="J14" s="712"/>
      <c r="K14" s="712" t="s">
        <v>28</v>
      </c>
      <c r="L14" s="712">
        <f>Össz.önkor.mérleg.!M14</f>
        <v>3150</v>
      </c>
      <c r="M14" s="712">
        <f>Össz.önkor.mérleg.!N14</f>
        <v>10950</v>
      </c>
      <c r="N14" s="712">
        <f>Össz.önkor.mérleg.!O14</f>
        <v>14100</v>
      </c>
      <c r="O14" s="709"/>
      <c r="P14" s="709"/>
      <c r="Q14" s="709"/>
      <c r="R14" s="709"/>
      <c r="S14" s="709"/>
      <c r="Y14" s="10"/>
      <c r="Z14" s="10"/>
      <c r="AA14" s="10"/>
      <c r="AB14" s="10"/>
      <c r="AC14" s="10"/>
      <c r="AD14" s="10"/>
    </row>
    <row r="15" spans="1:30" x14ac:dyDescent="0.2">
      <c r="A15" s="747">
        <f t="shared" si="0"/>
        <v>7</v>
      </c>
      <c r="B15" s="749"/>
      <c r="C15" s="712"/>
      <c r="D15" s="712"/>
      <c r="E15" s="712"/>
      <c r="F15" s="712"/>
      <c r="G15" s="712"/>
      <c r="H15" s="712"/>
      <c r="I15" s="712"/>
      <c r="J15" s="712"/>
      <c r="K15" s="712" t="s">
        <v>30</v>
      </c>
      <c r="L15" s="712">
        <f>Össz.önkor.mérleg.!M16</f>
        <v>0</v>
      </c>
      <c r="M15" s="714"/>
      <c r="N15" s="713"/>
      <c r="O15" s="709"/>
      <c r="P15" s="709"/>
      <c r="Q15" s="709"/>
      <c r="R15" s="709"/>
      <c r="S15" s="709"/>
      <c r="Y15" s="10"/>
      <c r="Z15" s="10"/>
      <c r="AA15" s="10"/>
      <c r="AB15" s="10"/>
      <c r="AC15" s="10"/>
      <c r="AD15" s="10"/>
    </row>
    <row r="16" spans="1:30" x14ac:dyDescent="0.2">
      <c r="A16" s="747">
        <f t="shared" si="0"/>
        <v>8</v>
      </c>
      <c r="B16" s="749" t="s">
        <v>41</v>
      </c>
      <c r="C16" s="713">
        <f>Össz.önkor.mérleg.!D20</f>
        <v>164294</v>
      </c>
      <c r="D16" s="713">
        <f>Össz.önkor.mérleg.!E20</f>
        <v>195202</v>
      </c>
      <c r="E16" s="713">
        <f>Össz.önkor.mérleg.!F20</f>
        <v>359496</v>
      </c>
      <c r="F16" s="713"/>
      <c r="G16" s="713"/>
      <c r="H16" s="713"/>
      <c r="I16" s="713"/>
      <c r="J16" s="713"/>
      <c r="K16" s="712" t="s">
        <v>471</v>
      </c>
      <c r="L16" s="712">
        <f>Össz.önkor.mérleg.!M17</f>
        <v>5750</v>
      </c>
      <c r="M16" s="712">
        <f>Össz.önkor.mérleg.!N17</f>
        <v>45623</v>
      </c>
      <c r="N16" s="712">
        <f>Össz.önkor.mérleg.!O17</f>
        <v>51373</v>
      </c>
      <c r="O16" s="709"/>
      <c r="P16" s="709"/>
      <c r="Q16" s="709"/>
      <c r="R16" s="709"/>
      <c r="S16" s="709"/>
      <c r="Y16" s="10"/>
      <c r="Z16" s="10"/>
      <c r="AA16" s="10"/>
      <c r="AB16" s="10"/>
      <c r="AC16" s="10"/>
      <c r="AD16" s="10"/>
    </row>
    <row r="17" spans="1:30" x14ac:dyDescent="0.2">
      <c r="A17" s="747">
        <f t="shared" si="0"/>
        <v>9</v>
      </c>
      <c r="B17" s="750" t="s">
        <v>40</v>
      </c>
      <c r="C17" s="713"/>
      <c r="D17" s="713"/>
      <c r="E17" s="713"/>
      <c r="F17" s="713"/>
      <c r="G17" s="713"/>
      <c r="H17" s="713"/>
      <c r="I17" s="713"/>
      <c r="J17" s="713"/>
      <c r="K17" s="712" t="s">
        <v>470</v>
      </c>
      <c r="L17" s="712">
        <f>Össz.önkor.mérleg.!M18</f>
        <v>116685</v>
      </c>
      <c r="M17" s="712">
        <f>Össz.önkor.mérleg.!N18</f>
        <v>170408</v>
      </c>
      <c r="N17" s="712">
        <f>Össz.önkor.mérleg.!O18</f>
        <v>287093</v>
      </c>
      <c r="O17" s="709"/>
      <c r="P17" s="709"/>
      <c r="Q17" s="709"/>
      <c r="R17" s="709"/>
      <c r="S17" s="709"/>
      <c r="Y17" s="10"/>
      <c r="Z17" s="10"/>
      <c r="AA17" s="10"/>
      <c r="AB17" s="10"/>
      <c r="AC17" s="10"/>
      <c r="AD17" s="10"/>
    </row>
    <row r="18" spans="1:30" x14ac:dyDescent="0.2">
      <c r="A18" s="747">
        <f t="shared" si="0"/>
        <v>10</v>
      </c>
      <c r="B18" s="750"/>
      <c r="C18" s="713"/>
      <c r="D18" s="713"/>
      <c r="E18" s="713"/>
      <c r="F18" s="713"/>
      <c r="G18" s="713"/>
      <c r="H18" s="713"/>
      <c r="I18" s="713"/>
      <c r="J18" s="713"/>
      <c r="K18" s="712" t="s">
        <v>205</v>
      </c>
      <c r="L18" s="712">
        <f>Össz.önkor.mérleg.!M19</f>
        <v>451</v>
      </c>
      <c r="M18" s="712">
        <f>Össz.önkor.mérleg.!N19</f>
        <v>0</v>
      </c>
      <c r="N18" s="712">
        <f>Össz.önkor.mérleg.!O19</f>
        <v>451</v>
      </c>
      <c r="O18" s="709"/>
      <c r="P18" s="709"/>
      <c r="Q18" s="709"/>
      <c r="R18" s="709"/>
      <c r="S18" s="709"/>
      <c r="Y18" s="10"/>
      <c r="Z18" s="10"/>
      <c r="AA18" s="10"/>
      <c r="AB18" s="10"/>
      <c r="AC18" s="10"/>
      <c r="AD18" s="10"/>
    </row>
    <row r="19" spans="1:30" x14ac:dyDescent="0.2">
      <c r="A19" s="747">
        <f t="shared" si="0"/>
        <v>11</v>
      </c>
      <c r="B19" s="710" t="s">
        <v>50</v>
      </c>
      <c r="C19" s="714">
        <f>Össz.önkor.mérleg.!D29</f>
        <v>0</v>
      </c>
      <c r="D19" s="714">
        <f>Össz.önkor.mérleg.!E29</f>
        <v>62024</v>
      </c>
      <c r="E19" s="714">
        <f>Össz.önkor.mérleg.!F29</f>
        <v>62024</v>
      </c>
      <c r="F19" s="714"/>
      <c r="G19" s="714"/>
      <c r="H19" s="714"/>
      <c r="I19" s="714"/>
      <c r="J19" s="714"/>
      <c r="K19" s="712" t="s">
        <v>463</v>
      </c>
      <c r="L19" s="712">
        <f>Össz.önkor.mérleg.!M20</f>
        <v>0</v>
      </c>
      <c r="M19" s="712">
        <f>Össz.önkor.mérleg.!N20</f>
        <v>64029</v>
      </c>
      <c r="N19" s="712">
        <f>Össz.önkor.mérleg.!O20</f>
        <v>64029</v>
      </c>
      <c r="O19" s="709"/>
      <c r="P19" s="709"/>
      <c r="Q19" s="709"/>
      <c r="R19" s="709"/>
      <c r="S19" s="709"/>
      <c r="Y19" s="10"/>
      <c r="Z19" s="10"/>
      <c r="AA19" s="10"/>
      <c r="AB19" s="10"/>
      <c r="AC19" s="10"/>
      <c r="AD19" s="10"/>
    </row>
    <row r="20" spans="1:30" x14ac:dyDescent="0.2">
      <c r="A20" s="747">
        <f t="shared" si="0"/>
        <v>12</v>
      </c>
      <c r="B20" s="710"/>
      <c r="C20" s="713"/>
      <c r="D20" s="713"/>
      <c r="E20" s="713"/>
      <c r="F20" s="713"/>
      <c r="G20" s="713"/>
      <c r="H20" s="713"/>
      <c r="I20" s="713"/>
      <c r="J20" s="713"/>
      <c r="K20" s="712" t="s">
        <v>464</v>
      </c>
      <c r="L20" s="712">
        <f>Össz.önkor.mérleg.!M21</f>
        <v>4083</v>
      </c>
      <c r="M20" s="712">
        <f>Össz.önkor.mérleg.!N21</f>
        <v>152</v>
      </c>
      <c r="N20" s="712">
        <f>Össz.önkor.mérleg.!O21</f>
        <v>4235</v>
      </c>
      <c r="O20" s="709"/>
      <c r="P20" s="709"/>
      <c r="Q20" s="709"/>
      <c r="R20" s="709"/>
      <c r="S20" s="709"/>
      <c r="Y20" s="10"/>
      <c r="Z20" s="10"/>
      <c r="AA20" s="10"/>
      <c r="AB20" s="10"/>
      <c r="AC20" s="10"/>
      <c r="AD20" s="10"/>
    </row>
    <row r="21" spans="1:30" x14ac:dyDescent="0.2">
      <c r="A21" s="747">
        <f t="shared" si="0"/>
        <v>13</v>
      </c>
      <c r="B21" s="710"/>
      <c r="C21" s="713"/>
      <c r="D21" s="713"/>
      <c r="E21" s="713"/>
      <c r="F21" s="713"/>
      <c r="G21" s="713"/>
      <c r="H21" s="713"/>
      <c r="I21" s="713"/>
      <c r="J21" s="713"/>
      <c r="K21" s="712"/>
      <c r="L21" s="712"/>
      <c r="M21" s="714"/>
      <c r="N21" s="713"/>
      <c r="O21" s="709"/>
      <c r="P21" s="709"/>
      <c r="Q21" s="709"/>
      <c r="R21" s="709"/>
      <c r="S21" s="709"/>
      <c r="Y21" s="10"/>
      <c r="Z21" s="10"/>
      <c r="AA21" s="10"/>
      <c r="AB21" s="10"/>
      <c r="AC21" s="10"/>
      <c r="AD21" s="10"/>
    </row>
    <row r="22" spans="1:30" s="100" customFormat="1" x14ac:dyDescent="0.2">
      <c r="A22" s="747">
        <f t="shared" si="0"/>
        <v>14</v>
      </c>
      <c r="B22" s="751" t="s">
        <v>52</v>
      </c>
      <c r="C22" s="752">
        <f>SUM(C11:C20)</f>
        <v>1393059</v>
      </c>
      <c r="D22" s="752">
        <f>SUM(D11:D20)</f>
        <v>1135080</v>
      </c>
      <c r="E22" s="752">
        <f>SUM(E11:E20)</f>
        <v>2528139</v>
      </c>
      <c r="F22" s="752"/>
      <c r="G22" s="752"/>
      <c r="H22" s="752"/>
      <c r="I22" s="752"/>
      <c r="J22" s="752"/>
      <c r="K22" s="718" t="s">
        <v>66</v>
      </c>
      <c r="L22" s="718">
        <f>SUM(L10:L21)</f>
        <v>1399453</v>
      </c>
      <c r="M22" s="718">
        <f>SUM(M10:M21)</f>
        <v>1202029.32</v>
      </c>
      <c r="N22" s="718">
        <f>SUM(N10:N21)</f>
        <v>2601482.3200000003</v>
      </c>
      <c r="O22" s="715"/>
      <c r="P22" s="715"/>
      <c r="Q22" s="715"/>
      <c r="R22" s="715"/>
      <c r="S22" s="715"/>
      <c r="T22" s="130"/>
      <c r="U22" s="130"/>
      <c r="V22" s="130"/>
      <c r="W22" s="130"/>
      <c r="X22" s="130"/>
    </row>
    <row r="23" spans="1:30" s="100" customFormat="1" x14ac:dyDescent="0.2">
      <c r="A23" s="747">
        <f t="shared" si="0"/>
        <v>15</v>
      </c>
      <c r="B23" s="710"/>
      <c r="C23" s="713"/>
      <c r="D23" s="713"/>
      <c r="E23" s="713"/>
      <c r="F23" s="713"/>
      <c r="G23" s="713"/>
      <c r="H23" s="713"/>
      <c r="I23" s="713"/>
      <c r="J23" s="713"/>
      <c r="K23" s="714"/>
      <c r="L23" s="714"/>
      <c r="M23" s="714"/>
      <c r="N23" s="714"/>
      <c r="O23" s="715"/>
      <c r="P23" s="715"/>
      <c r="Q23" s="715"/>
      <c r="R23" s="715"/>
      <c r="S23" s="715"/>
      <c r="T23" s="130"/>
      <c r="U23" s="130"/>
      <c r="V23" s="130"/>
      <c r="W23" s="130"/>
      <c r="X23" s="130"/>
    </row>
    <row r="24" spans="1:30" x14ac:dyDescent="0.2">
      <c r="A24" s="747">
        <f t="shared" si="0"/>
        <v>16</v>
      </c>
      <c r="B24" s="723" t="s">
        <v>51</v>
      </c>
      <c r="C24" s="717">
        <f>SUM(C22:C23)</f>
        <v>1393059</v>
      </c>
      <c r="D24" s="717">
        <f>SUM(D22:D23)</f>
        <v>1135080</v>
      </c>
      <c r="E24" s="717">
        <f>SUM(E22:E23)</f>
        <v>2528139</v>
      </c>
      <c r="F24" s="717"/>
      <c r="G24" s="717"/>
      <c r="H24" s="717"/>
      <c r="I24" s="717"/>
      <c r="J24" s="717"/>
      <c r="K24" s="720" t="s">
        <v>69</v>
      </c>
      <c r="L24" s="720">
        <f>SUM(L22:L23)</f>
        <v>1399453</v>
      </c>
      <c r="M24" s="720">
        <f>SUM(M22:M23)</f>
        <v>1202029.32</v>
      </c>
      <c r="N24" s="720">
        <f>SUM(N22:N23)</f>
        <v>2601482.3200000003</v>
      </c>
      <c r="O24" s="709"/>
      <c r="P24" s="709"/>
      <c r="Q24" s="709"/>
      <c r="R24" s="709"/>
      <c r="S24" s="709"/>
      <c r="Y24" s="10"/>
      <c r="Z24" s="10"/>
      <c r="AA24" s="10"/>
      <c r="AB24" s="10"/>
      <c r="AC24" s="10"/>
      <c r="AD24" s="10"/>
    </row>
    <row r="25" spans="1:30" x14ac:dyDescent="0.2">
      <c r="A25" s="747">
        <f t="shared" si="0"/>
        <v>17</v>
      </c>
      <c r="B25" s="749"/>
      <c r="C25" s="713"/>
      <c r="D25" s="713"/>
      <c r="E25" s="713"/>
      <c r="F25" s="713"/>
      <c r="G25" s="713"/>
      <c r="H25" s="713"/>
      <c r="I25" s="713"/>
      <c r="J25" s="713"/>
      <c r="K25" s="714"/>
      <c r="L25" s="714"/>
      <c r="M25" s="714"/>
      <c r="N25" s="714"/>
      <c r="O25" s="709"/>
      <c r="P25" s="709"/>
      <c r="Q25" s="709"/>
      <c r="R25" s="709"/>
      <c r="S25" s="709"/>
      <c r="Y25" s="10"/>
      <c r="Z25" s="10"/>
      <c r="AA25" s="10"/>
      <c r="AB25" s="10"/>
      <c r="AC25" s="10"/>
      <c r="AD25" s="10"/>
    </row>
    <row r="26" spans="1:30" x14ac:dyDescent="0.2">
      <c r="A26" s="753">
        <f t="shared" si="0"/>
        <v>18</v>
      </c>
      <c r="B26" s="754" t="s">
        <v>668</v>
      </c>
      <c r="C26" s="719">
        <f>C24-L24</f>
        <v>-6394</v>
      </c>
      <c r="D26" s="719">
        <f>D24-M24</f>
        <v>-66949.320000000065</v>
      </c>
      <c r="E26" s="719">
        <f>E24-N24</f>
        <v>-73343.320000000298</v>
      </c>
      <c r="F26" s="719"/>
      <c r="G26" s="719"/>
      <c r="H26" s="719"/>
      <c r="I26" s="719"/>
      <c r="J26" s="719"/>
      <c r="K26" s="719"/>
      <c r="L26" s="720"/>
      <c r="M26" s="720"/>
      <c r="N26" s="714"/>
      <c r="O26" s="709"/>
      <c r="P26" s="709"/>
      <c r="Q26" s="709"/>
      <c r="R26" s="709"/>
      <c r="S26" s="709"/>
      <c r="Y26" s="10"/>
      <c r="Z26" s="10"/>
      <c r="AA26" s="10"/>
      <c r="AB26" s="10"/>
      <c r="AC26" s="10"/>
      <c r="AD26" s="10"/>
    </row>
    <row r="27" spans="1:30" x14ac:dyDescent="0.2">
      <c r="A27" s="753">
        <f t="shared" si="0"/>
        <v>19</v>
      </c>
      <c r="B27" s="749"/>
      <c r="C27" s="712"/>
      <c r="D27" s="712"/>
      <c r="E27" s="712"/>
      <c r="F27" s="712"/>
      <c r="G27" s="712"/>
      <c r="H27" s="712"/>
      <c r="I27" s="712"/>
      <c r="J27" s="712"/>
      <c r="K27" s="712"/>
      <c r="L27" s="714"/>
      <c r="M27" s="714"/>
      <c r="N27" s="714"/>
      <c r="O27" s="709"/>
      <c r="P27" s="709"/>
      <c r="Q27" s="709"/>
      <c r="R27" s="709"/>
      <c r="S27" s="709"/>
      <c r="Y27" s="10"/>
      <c r="Z27" s="10"/>
      <c r="AA27" s="10"/>
      <c r="AB27" s="10"/>
      <c r="AC27" s="10"/>
      <c r="AD27" s="10"/>
    </row>
    <row r="28" spans="1:30" x14ac:dyDescent="0.2">
      <c r="A28" s="753">
        <f t="shared" si="0"/>
        <v>20</v>
      </c>
      <c r="B28" s="719" t="s">
        <v>53</v>
      </c>
      <c r="C28" s="719"/>
      <c r="D28" s="719"/>
      <c r="E28" s="719"/>
      <c r="F28" s="719"/>
      <c r="G28" s="719"/>
      <c r="H28" s="719"/>
      <c r="I28" s="719"/>
      <c r="J28" s="719"/>
      <c r="K28" s="719" t="s">
        <v>33</v>
      </c>
      <c r="L28" s="714"/>
      <c r="M28" s="714"/>
      <c r="N28" s="714"/>
      <c r="O28" s="709"/>
      <c r="P28" s="709"/>
      <c r="Q28" s="709"/>
      <c r="R28" s="709"/>
      <c r="S28" s="709"/>
      <c r="Y28" s="10"/>
      <c r="Z28" s="10"/>
      <c r="AA28" s="10"/>
      <c r="AB28" s="10"/>
      <c r="AC28" s="10"/>
      <c r="AD28" s="10"/>
    </row>
    <row r="29" spans="1:30" s="100" customFormat="1" x14ac:dyDescent="0.2">
      <c r="A29" s="753">
        <f t="shared" si="0"/>
        <v>21</v>
      </c>
      <c r="B29" s="726" t="s">
        <v>725</v>
      </c>
      <c r="C29" s="719"/>
      <c r="D29" s="719"/>
      <c r="E29" s="719"/>
      <c r="F29" s="719"/>
      <c r="G29" s="719"/>
      <c r="H29" s="719"/>
      <c r="I29" s="719"/>
      <c r="J29" s="719"/>
      <c r="K29" s="726" t="s">
        <v>4</v>
      </c>
      <c r="L29" s="714"/>
      <c r="M29" s="714"/>
      <c r="N29" s="714"/>
      <c r="O29" s="715"/>
      <c r="P29" s="715"/>
      <c r="Q29" s="715"/>
      <c r="R29" s="715"/>
      <c r="S29" s="715"/>
      <c r="T29" s="130"/>
      <c r="U29" s="130"/>
      <c r="V29" s="130"/>
      <c r="W29" s="130"/>
      <c r="X29" s="130"/>
    </row>
    <row r="30" spans="1:30" ht="21.75" x14ac:dyDescent="0.2">
      <c r="A30" s="753">
        <f t="shared" si="0"/>
        <v>22</v>
      </c>
      <c r="B30" s="755" t="s">
        <v>1075</v>
      </c>
      <c r="C30" s="712">
        <f>Össz.önkor.mérleg.!D40</f>
        <v>1243160</v>
      </c>
      <c r="D30" s="712">
        <f>Össz.önkor.mérleg.!E40</f>
        <v>0</v>
      </c>
      <c r="E30" s="712">
        <f>Össz.önkor.mérleg.!F40</f>
        <v>1243160</v>
      </c>
      <c r="F30" s="712"/>
      <c r="G30" s="712"/>
      <c r="H30" s="712"/>
      <c r="I30" s="712"/>
      <c r="J30" s="712"/>
      <c r="K30" s="710" t="s">
        <v>3</v>
      </c>
      <c r="L30" s="714"/>
      <c r="M30" s="714"/>
      <c r="N30" s="714"/>
      <c r="O30" s="709"/>
      <c r="P30" s="709"/>
      <c r="Q30" s="709"/>
      <c r="R30" s="709"/>
      <c r="S30" s="709"/>
      <c r="Y30" s="10"/>
      <c r="Z30" s="10"/>
      <c r="AA30" s="10"/>
      <c r="AB30" s="10"/>
      <c r="AC30" s="10"/>
      <c r="AD30" s="10"/>
    </row>
    <row r="31" spans="1:30" x14ac:dyDescent="0.2">
      <c r="A31" s="753">
        <f t="shared" si="0"/>
        <v>23</v>
      </c>
      <c r="B31" s="710" t="s">
        <v>1073</v>
      </c>
      <c r="C31" s="719">
        <f>-997160-244511-1489</f>
        <v>-1243160</v>
      </c>
      <c r="D31" s="719">
        <v>0</v>
      </c>
      <c r="E31" s="712">
        <f>C31+D31</f>
        <v>-1243160</v>
      </c>
      <c r="F31" s="712"/>
      <c r="G31" s="712"/>
      <c r="H31" s="712"/>
      <c r="I31" s="712"/>
      <c r="J31" s="712"/>
      <c r="K31" s="710"/>
      <c r="L31" s="714"/>
      <c r="M31" s="714"/>
      <c r="N31" s="714"/>
      <c r="O31" s="709"/>
      <c r="P31" s="709"/>
      <c r="Q31" s="709"/>
      <c r="R31" s="709"/>
      <c r="S31" s="709"/>
      <c r="Y31" s="10"/>
      <c r="Z31" s="10"/>
      <c r="AA31" s="10"/>
      <c r="AB31" s="10"/>
      <c r="AC31" s="10"/>
      <c r="AD31" s="10"/>
    </row>
    <row r="32" spans="1:30" s="11" customFormat="1" x14ac:dyDescent="0.2">
      <c r="A32" s="753">
        <f t="shared" si="0"/>
        <v>24</v>
      </c>
      <c r="B32" s="712" t="s">
        <v>676</v>
      </c>
      <c r="C32" s="730"/>
      <c r="D32" s="726"/>
      <c r="E32" s="726">
        <f>SUM(C32:D32)</f>
        <v>0</v>
      </c>
      <c r="F32" s="726"/>
      <c r="G32" s="726"/>
      <c r="H32" s="726"/>
      <c r="I32" s="726"/>
      <c r="J32" s="726"/>
      <c r="K32" s="712" t="s">
        <v>5</v>
      </c>
      <c r="L32" s="714"/>
      <c r="M32" s="714"/>
      <c r="N32" s="714"/>
      <c r="O32" s="722"/>
      <c r="P32" s="722"/>
      <c r="Q32" s="722"/>
      <c r="R32" s="722"/>
      <c r="S32" s="722"/>
      <c r="T32" s="128"/>
      <c r="U32" s="128"/>
      <c r="V32" s="128"/>
      <c r="W32" s="128"/>
      <c r="X32" s="128"/>
    </row>
    <row r="33" spans="1:30" x14ac:dyDescent="0.2">
      <c r="A33" s="753">
        <f t="shared" si="0"/>
        <v>25</v>
      </c>
      <c r="B33" s="712" t="s">
        <v>726</v>
      </c>
      <c r="C33" s="712"/>
      <c r="D33" s="712"/>
      <c r="E33" s="712"/>
      <c r="F33" s="712"/>
      <c r="G33" s="712"/>
      <c r="H33" s="712"/>
      <c r="I33" s="712"/>
      <c r="J33" s="712"/>
      <c r="K33" s="712" t="s">
        <v>6</v>
      </c>
      <c r="L33" s="756"/>
      <c r="M33" s="756"/>
      <c r="N33" s="756"/>
      <c r="O33" s="709"/>
      <c r="P33" s="709"/>
      <c r="Q33" s="709"/>
      <c r="R33" s="709"/>
      <c r="S33" s="709"/>
      <c r="Y33" s="10"/>
      <c r="Z33" s="10"/>
      <c r="AA33" s="10"/>
      <c r="AB33" s="10"/>
      <c r="AC33" s="10"/>
      <c r="AD33" s="10"/>
    </row>
    <row r="34" spans="1:30" x14ac:dyDescent="0.2">
      <c r="A34" s="753">
        <f t="shared" si="0"/>
        <v>26</v>
      </c>
      <c r="B34" s="712" t="s">
        <v>678</v>
      </c>
      <c r="C34" s="712">
        <f>Össz.önkor.mérleg.!D43</f>
        <v>1193985</v>
      </c>
      <c r="D34" s="712">
        <f>Össz.önkor.mérleg.!E43</f>
        <v>160130</v>
      </c>
      <c r="E34" s="712">
        <f>SUM(C34:D34)</f>
        <v>1354115</v>
      </c>
      <c r="F34" s="712"/>
      <c r="G34" s="712"/>
      <c r="H34" s="712"/>
      <c r="I34" s="712"/>
      <c r="J34" s="712"/>
      <c r="K34" s="712" t="s">
        <v>7</v>
      </c>
      <c r="L34" s="720"/>
      <c r="M34" s="720"/>
      <c r="N34" s="720"/>
      <c r="O34" s="709"/>
      <c r="P34" s="709"/>
      <c r="Q34" s="709"/>
      <c r="R34" s="709"/>
      <c r="S34" s="709"/>
      <c r="Y34" s="10"/>
      <c r="Z34" s="10"/>
      <c r="AA34" s="10"/>
      <c r="AB34" s="10"/>
      <c r="AC34" s="10"/>
      <c r="AD34" s="10"/>
    </row>
    <row r="35" spans="1:30" x14ac:dyDescent="0.2">
      <c r="A35" s="753">
        <f t="shared" si="0"/>
        <v>27</v>
      </c>
      <c r="B35" s="712" t="s">
        <v>1012</v>
      </c>
      <c r="C35" s="712">
        <f>Össz.önkor.mérleg.!D44</f>
        <v>0</v>
      </c>
      <c r="D35" s="712">
        <f>Össz.önkor.mérleg.!E44</f>
        <v>0</v>
      </c>
      <c r="E35" s="712">
        <f>Össz.önkor.mérleg.!F44</f>
        <v>0</v>
      </c>
      <c r="F35" s="712"/>
      <c r="G35" s="712"/>
      <c r="H35" s="712"/>
      <c r="I35" s="712"/>
      <c r="J35" s="712"/>
      <c r="K35" s="712"/>
      <c r="L35" s="720"/>
      <c r="M35" s="720"/>
      <c r="N35" s="720"/>
      <c r="O35" s="709"/>
      <c r="P35" s="709"/>
      <c r="Q35" s="709"/>
      <c r="R35" s="709"/>
      <c r="S35" s="709"/>
      <c r="Y35" s="10"/>
      <c r="Z35" s="10"/>
      <c r="AA35" s="10"/>
      <c r="AB35" s="10"/>
      <c r="AC35" s="10"/>
      <c r="AD35" s="10"/>
    </row>
    <row r="36" spans="1:30" x14ac:dyDescent="0.2">
      <c r="A36" s="753">
        <f t="shared" si="0"/>
        <v>28</v>
      </c>
      <c r="B36" s="749" t="s">
        <v>677</v>
      </c>
      <c r="C36" s="712">
        <f>-'felhalm. mérleg'!C35</f>
        <v>-1159898</v>
      </c>
      <c r="D36" s="712">
        <f>-'felhalm. mérleg'!D35</f>
        <v>-182683</v>
      </c>
      <c r="E36" s="712">
        <f>-'felhalm. mérleg'!E35</f>
        <v>-1342581</v>
      </c>
      <c r="F36" s="712"/>
      <c r="G36" s="712"/>
      <c r="H36" s="712"/>
      <c r="I36" s="712"/>
      <c r="J36" s="712"/>
      <c r="K36" s="712" t="s">
        <v>8</v>
      </c>
      <c r="L36" s="714"/>
      <c r="M36" s="714"/>
      <c r="N36" s="714"/>
      <c r="O36" s="709"/>
      <c r="P36" s="709"/>
      <c r="Q36" s="709"/>
      <c r="R36" s="709"/>
      <c r="S36" s="709"/>
      <c r="Y36" s="10"/>
      <c r="Z36" s="10"/>
      <c r="AA36" s="10"/>
      <c r="AB36" s="10"/>
      <c r="AC36" s="10"/>
      <c r="AD36" s="10"/>
    </row>
    <row r="37" spans="1:30" x14ac:dyDescent="0.2">
      <c r="A37" s="753">
        <f t="shared" si="0"/>
        <v>29</v>
      </c>
      <c r="B37" s="712" t="s">
        <v>728</v>
      </c>
      <c r="C37" s="719"/>
      <c r="D37" s="719"/>
      <c r="E37" s="719"/>
      <c r="F37" s="719"/>
      <c r="G37" s="719"/>
      <c r="H37" s="719"/>
      <c r="I37" s="719"/>
      <c r="J37" s="719"/>
      <c r="K37" s="712" t="s">
        <v>9</v>
      </c>
      <c r="L37" s="718">
        <f>Össz.önkor.mérleg.!M46</f>
        <v>27693</v>
      </c>
      <c r="M37" s="718">
        <f>Össz.önkor.mérleg.!N46</f>
        <v>3751</v>
      </c>
      <c r="N37" s="718">
        <f>Össz.önkor.mérleg.!O46</f>
        <v>31444</v>
      </c>
      <c r="O37" s="709"/>
      <c r="P37" s="709"/>
      <c r="Q37" s="709"/>
      <c r="R37" s="709"/>
      <c r="S37" s="709"/>
      <c r="Y37" s="10"/>
      <c r="Z37" s="10"/>
      <c r="AA37" s="10"/>
      <c r="AB37" s="10"/>
      <c r="AC37" s="10"/>
      <c r="AD37" s="10"/>
    </row>
    <row r="38" spans="1:30" s="11" customFormat="1" x14ac:dyDescent="0.2">
      <c r="A38" s="753">
        <f t="shared" si="0"/>
        <v>30</v>
      </c>
      <c r="B38" s="712" t="s">
        <v>729</v>
      </c>
      <c r="C38" s="712"/>
      <c r="D38" s="712"/>
      <c r="E38" s="712"/>
      <c r="F38" s="712"/>
      <c r="G38" s="712"/>
      <c r="H38" s="712"/>
      <c r="I38" s="712"/>
      <c r="J38" s="712"/>
      <c r="K38" s="712" t="s">
        <v>10</v>
      </c>
      <c r="L38" s="714"/>
      <c r="M38" s="714"/>
      <c r="N38" s="714"/>
      <c r="O38" s="722"/>
      <c r="P38" s="722"/>
      <c r="Q38" s="722"/>
      <c r="R38" s="722"/>
      <c r="S38" s="722"/>
      <c r="T38" s="128"/>
      <c r="U38" s="128"/>
      <c r="V38" s="128"/>
      <c r="W38" s="128"/>
      <c r="X38" s="128"/>
    </row>
    <row r="39" spans="1:30" s="11" customFormat="1" x14ac:dyDescent="0.2">
      <c r="A39" s="753">
        <f t="shared" si="0"/>
        <v>31</v>
      </c>
      <c r="B39" s="712" t="s">
        <v>730</v>
      </c>
      <c r="C39" s="712"/>
      <c r="D39" s="712"/>
      <c r="E39" s="712"/>
      <c r="F39" s="712"/>
      <c r="G39" s="712"/>
      <c r="H39" s="712"/>
      <c r="I39" s="712"/>
      <c r="J39" s="712"/>
      <c r="K39" s="712" t="s">
        <v>11</v>
      </c>
      <c r="L39" s="720"/>
      <c r="M39" s="720"/>
      <c r="N39" s="720"/>
      <c r="O39" s="722"/>
      <c r="P39" s="722"/>
      <c r="Q39" s="722"/>
      <c r="R39" s="722"/>
      <c r="S39" s="722"/>
      <c r="T39" s="128"/>
      <c r="U39" s="128"/>
      <c r="V39" s="128"/>
      <c r="W39" s="128"/>
      <c r="X39" s="128"/>
    </row>
    <row r="40" spans="1:30" s="11" customFormat="1" x14ac:dyDescent="0.2">
      <c r="A40" s="753">
        <f t="shared" si="0"/>
        <v>32</v>
      </c>
      <c r="B40" s="712" t="s">
        <v>731</v>
      </c>
      <c r="C40" s="712"/>
      <c r="D40" s="712"/>
      <c r="E40" s="712"/>
      <c r="F40" s="712"/>
      <c r="G40" s="712"/>
      <c r="H40" s="712"/>
      <c r="I40" s="712"/>
      <c r="J40" s="712"/>
      <c r="K40" s="712" t="s">
        <v>12</v>
      </c>
      <c r="L40" s="720"/>
      <c r="M40" s="723"/>
      <c r="N40" s="723"/>
      <c r="O40" s="722"/>
      <c r="P40" s="722"/>
      <c r="Q40" s="722"/>
      <c r="R40" s="722"/>
      <c r="S40" s="722"/>
      <c r="T40" s="128"/>
      <c r="U40" s="128"/>
      <c r="V40" s="128"/>
      <c r="W40" s="128"/>
      <c r="X40" s="128"/>
    </row>
    <row r="41" spans="1:30" s="11" customFormat="1" x14ac:dyDescent="0.2">
      <c r="A41" s="753">
        <f t="shared" si="0"/>
        <v>33</v>
      </c>
      <c r="B41" s="712" t="s">
        <v>0</v>
      </c>
      <c r="C41" s="712"/>
      <c r="D41" s="712"/>
      <c r="E41" s="712"/>
      <c r="F41" s="712"/>
      <c r="G41" s="712"/>
      <c r="H41" s="712"/>
      <c r="I41" s="712"/>
      <c r="J41" s="712"/>
      <c r="K41" s="712" t="s">
        <v>13</v>
      </c>
      <c r="L41" s="720"/>
      <c r="M41" s="720"/>
      <c r="N41" s="720"/>
      <c r="O41" s="722"/>
      <c r="P41" s="722"/>
      <c r="Q41" s="722"/>
      <c r="R41" s="722"/>
      <c r="S41" s="722"/>
      <c r="T41" s="128"/>
      <c r="U41" s="128"/>
      <c r="V41" s="128"/>
      <c r="W41" s="128"/>
      <c r="X41" s="128"/>
    </row>
    <row r="42" spans="1:30" x14ac:dyDescent="0.2">
      <c r="A42" s="753">
        <f t="shared" si="0"/>
        <v>34</v>
      </c>
      <c r="B42" s="712" t="s">
        <v>1</v>
      </c>
      <c r="C42" s="712">
        <f>Össz.önkor.mérleg.!D50</f>
        <v>0</v>
      </c>
      <c r="D42" s="712">
        <f>Össz.önkor.mérleg.!E50</f>
        <v>0</v>
      </c>
      <c r="E42" s="712">
        <f>Össz.önkor.mérleg.!F50</f>
        <v>0</v>
      </c>
      <c r="F42" s="712"/>
      <c r="G42" s="712"/>
      <c r="H42" s="712"/>
      <c r="I42" s="712"/>
      <c r="J42" s="712"/>
      <c r="K42" s="712" t="s">
        <v>14</v>
      </c>
      <c r="L42" s="720"/>
      <c r="M42" s="720"/>
      <c r="N42" s="720"/>
      <c r="O42" s="709"/>
      <c r="P42" s="709"/>
      <c r="Q42" s="709"/>
      <c r="R42" s="709"/>
      <c r="S42" s="709"/>
      <c r="Y42" s="10"/>
      <c r="Z42" s="10"/>
      <c r="AA42" s="10"/>
      <c r="AB42" s="10"/>
      <c r="AC42" s="10"/>
      <c r="AD42" s="10"/>
    </row>
    <row r="43" spans="1:30" x14ac:dyDescent="0.2">
      <c r="A43" s="753">
        <f t="shared" si="0"/>
        <v>35</v>
      </c>
      <c r="B43" s="712" t="s">
        <v>2</v>
      </c>
      <c r="C43" s="712"/>
      <c r="D43" s="712"/>
      <c r="E43" s="712"/>
      <c r="F43" s="712"/>
      <c r="G43" s="712"/>
      <c r="H43" s="712"/>
      <c r="I43" s="712"/>
      <c r="J43" s="712"/>
      <c r="K43" s="712" t="s">
        <v>15</v>
      </c>
      <c r="L43" s="720"/>
      <c r="M43" s="720"/>
      <c r="N43" s="720"/>
      <c r="O43" s="709"/>
      <c r="P43" s="709"/>
      <c r="Q43" s="709"/>
      <c r="R43" s="709"/>
      <c r="S43" s="709"/>
      <c r="Y43" s="10"/>
      <c r="Z43" s="10"/>
      <c r="AA43" s="10"/>
      <c r="AB43" s="10"/>
      <c r="AC43" s="10"/>
      <c r="AD43" s="10"/>
    </row>
    <row r="44" spans="1:30" ht="12" thickBot="1" x14ac:dyDescent="0.25">
      <c r="A44" s="757">
        <f t="shared" si="0"/>
        <v>36</v>
      </c>
      <c r="B44" s="758" t="s">
        <v>473</v>
      </c>
      <c r="C44" s="733">
        <f>SUM(C29:C42)</f>
        <v>34087</v>
      </c>
      <c r="D44" s="733">
        <f>SUM(D29:D42)</f>
        <v>-22553</v>
      </c>
      <c r="E44" s="733">
        <f>SUM(E29:E42)</f>
        <v>11534</v>
      </c>
      <c r="F44" s="733"/>
      <c r="G44" s="733"/>
      <c r="H44" s="733"/>
      <c r="I44" s="733"/>
      <c r="J44" s="733"/>
      <c r="K44" s="733" t="s">
        <v>466</v>
      </c>
      <c r="L44" s="734">
        <f>SUM(L29:L43)</f>
        <v>27693</v>
      </c>
      <c r="M44" s="734">
        <f>SUM(M29:M43)</f>
        <v>3751</v>
      </c>
      <c r="N44" s="734">
        <f>SUM(N29:N43)</f>
        <v>31444</v>
      </c>
      <c r="O44" s="735"/>
      <c r="P44" s="735"/>
      <c r="Q44" s="735"/>
      <c r="R44" s="735"/>
      <c r="S44" s="735"/>
      <c r="Y44" s="10"/>
      <c r="Z44" s="10"/>
      <c r="AA44" s="10"/>
      <c r="AB44" s="10"/>
      <c r="AC44" s="10"/>
      <c r="AD44" s="10"/>
    </row>
    <row r="45" spans="1:30" ht="12" thickBot="1" x14ac:dyDescent="0.25">
      <c r="A45" s="759">
        <f t="shared" si="0"/>
        <v>37</v>
      </c>
      <c r="B45" s="760" t="s">
        <v>468</v>
      </c>
      <c r="C45" s="739">
        <f>C24+C44</f>
        <v>1427146</v>
      </c>
      <c r="D45" s="739">
        <f>D24+D44</f>
        <v>1112527</v>
      </c>
      <c r="E45" s="739">
        <f>E24+E44</f>
        <v>2539673</v>
      </c>
      <c r="F45" s="739"/>
      <c r="G45" s="739"/>
      <c r="H45" s="739"/>
      <c r="I45" s="739"/>
      <c r="J45" s="739"/>
      <c r="K45" s="760" t="s">
        <v>467</v>
      </c>
      <c r="L45" s="739">
        <f>L24+L44</f>
        <v>1427146</v>
      </c>
      <c r="M45" s="739">
        <f>M24+M44</f>
        <v>1205780.32</v>
      </c>
      <c r="N45" s="740">
        <f>N24+N44</f>
        <v>2632926.3200000003</v>
      </c>
      <c r="O45" s="741"/>
      <c r="P45" s="741"/>
      <c r="Q45" s="741"/>
      <c r="R45" s="741"/>
      <c r="S45" s="761"/>
      <c r="Y45" s="10"/>
      <c r="Z45" s="10"/>
      <c r="AA45" s="10"/>
      <c r="AB45" s="10"/>
      <c r="AC45" s="10"/>
      <c r="AD45" s="10"/>
    </row>
    <row r="46" spans="1:30" x14ac:dyDescent="0.2">
      <c r="B46" s="128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Y46" s="10"/>
      <c r="Z46" s="10"/>
      <c r="AA46" s="10"/>
      <c r="AB46" s="10"/>
      <c r="AC46" s="10"/>
      <c r="AD46" s="10"/>
    </row>
  </sheetData>
  <sheetProtection selectLockedCells="1" selectUnlockedCells="1"/>
  <mergeCells count="15">
    <mergeCell ref="O7:P7"/>
    <mergeCell ref="Q7:S7"/>
    <mergeCell ref="L6:S6"/>
    <mergeCell ref="B1:N1"/>
    <mergeCell ref="C7:E7"/>
    <mergeCell ref="L7:N7"/>
    <mergeCell ref="B3:N3"/>
    <mergeCell ref="B4:N4"/>
    <mergeCell ref="A5:N5"/>
    <mergeCell ref="A6:A8"/>
    <mergeCell ref="B6:B7"/>
    <mergeCell ref="K6:K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57"/>
  <sheetViews>
    <sheetView zoomScale="120" workbookViewId="0">
      <selection activeCell="G14" sqref="G14"/>
    </sheetView>
  </sheetViews>
  <sheetFormatPr defaultColWidth="9.140625" defaultRowHeight="11.25" x14ac:dyDescent="0.2"/>
  <cols>
    <col min="1" max="1" width="1" style="10" customWidth="1"/>
    <col min="2" max="2" width="4.85546875" style="116" customWidth="1"/>
    <col min="3" max="3" width="36.85546875" style="116" customWidth="1"/>
    <col min="4" max="4" width="10" style="117" customWidth="1"/>
    <col min="5" max="6" width="11.140625" style="117" customWidth="1"/>
    <col min="7" max="7" width="11" style="117" customWidth="1"/>
    <col min="8" max="11" width="11.5703125" style="117" customWidth="1"/>
    <col min="12" max="12" width="35.42578125" style="117" customWidth="1"/>
    <col min="13" max="13" width="11.140625" style="204" customWidth="1"/>
    <col min="14" max="15" width="11.5703125" style="204" customWidth="1"/>
    <col min="16" max="16" width="11.5703125" style="116" customWidth="1"/>
    <col min="17" max="19" width="11.5703125" style="10" customWidth="1"/>
    <col min="20" max="20" width="11.42578125" style="10" customWidth="1"/>
    <col min="21" max="16384" width="9.140625" style="10"/>
  </cols>
  <sheetData>
    <row r="1" spans="2:20" ht="12.75" customHeight="1" x14ac:dyDescent="0.2">
      <c r="C1" s="1636" t="s">
        <v>1295</v>
      </c>
      <c r="D1" s="1636"/>
      <c r="E1" s="1636"/>
      <c r="F1" s="1636"/>
      <c r="G1" s="1636"/>
      <c r="H1" s="1636"/>
      <c r="I1" s="1636"/>
      <c r="J1" s="1636"/>
      <c r="K1" s="1636"/>
      <c r="L1" s="1636"/>
      <c r="M1" s="1636"/>
      <c r="N1" s="1636"/>
      <c r="O1" s="1636"/>
      <c r="P1" s="1636"/>
      <c r="Q1" s="1636"/>
      <c r="R1" s="1636"/>
      <c r="S1" s="1636"/>
      <c r="T1" s="1636"/>
    </row>
    <row r="2" spans="2:20" x14ac:dyDescent="0.2">
      <c r="O2" s="253"/>
    </row>
    <row r="3" spans="2:20" x14ac:dyDescent="0.2">
      <c r="O3" s="253"/>
    </row>
    <row r="4" spans="2:20" s="98" customFormat="1" x14ac:dyDescent="0.2">
      <c r="B4" s="119"/>
      <c r="C4" s="1387" t="s">
        <v>78</v>
      </c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387"/>
      <c r="P4" s="1387"/>
      <c r="Q4" s="1387"/>
      <c r="R4" s="1387"/>
      <c r="S4" s="1387"/>
      <c r="T4" s="1387"/>
    </row>
    <row r="5" spans="2:20" s="98" customFormat="1" x14ac:dyDescent="0.2">
      <c r="B5" s="119"/>
      <c r="C5" s="1530" t="s">
        <v>197</v>
      </c>
      <c r="D5" s="1530"/>
      <c r="E5" s="1530"/>
      <c r="F5" s="1530"/>
      <c r="G5" s="1530"/>
      <c r="H5" s="1530"/>
      <c r="I5" s="1530"/>
      <c r="J5" s="1530"/>
      <c r="K5" s="1530"/>
      <c r="L5" s="1530"/>
      <c r="M5" s="1530"/>
      <c r="N5" s="1530"/>
      <c r="O5" s="1530"/>
      <c r="P5" s="1530"/>
      <c r="Q5" s="1530"/>
      <c r="R5" s="1530"/>
      <c r="S5" s="1530"/>
      <c r="T5" s="1530"/>
    </row>
    <row r="6" spans="2:20" s="98" customFormat="1" x14ac:dyDescent="0.2">
      <c r="B6" s="119"/>
      <c r="C6" s="1387" t="s">
        <v>1123</v>
      </c>
      <c r="D6" s="1387"/>
      <c r="E6" s="1387"/>
      <c r="F6" s="1387"/>
      <c r="G6" s="1387"/>
      <c r="H6" s="1387"/>
      <c r="I6" s="1387"/>
      <c r="J6" s="1387"/>
      <c r="K6" s="1387"/>
      <c r="L6" s="1387"/>
      <c r="M6" s="1387"/>
      <c r="N6" s="1387"/>
      <c r="O6" s="1387"/>
      <c r="P6" s="1387"/>
      <c r="Q6" s="1387"/>
      <c r="R6" s="1387"/>
      <c r="S6" s="1387"/>
      <c r="T6" s="1387"/>
    </row>
    <row r="7" spans="2:20" s="98" customFormat="1" ht="12" thickBot="1" x14ac:dyDescent="0.25">
      <c r="B7" s="119"/>
      <c r="C7" s="1428" t="s">
        <v>320</v>
      </c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2:20" s="98" customFormat="1" ht="12.75" customHeight="1" x14ac:dyDescent="0.2">
      <c r="B8" s="1637" t="s">
        <v>56</v>
      </c>
      <c r="C8" s="1335" t="s">
        <v>57</v>
      </c>
      <c r="D8" s="1520" t="s">
        <v>58</v>
      </c>
      <c r="E8" s="1520"/>
      <c r="F8" s="1520"/>
      <c r="G8" s="1520"/>
      <c r="H8" s="1520"/>
      <c r="I8" s="1520"/>
      <c r="J8" s="1520"/>
      <c r="K8" s="1521"/>
      <c r="L8" s="1640" t="s">
        <v>59</v>
      </c>
      <c r="M8" s="1633" t="s">
        <v>60</v>
      </c>
      <c r="N8" s="1634"/>
      <c r="O8" s="1634"/>
      <c r="P8" s="1634"/>
      <c r="Q8" s="1634"/>
      <c r="R8" s="1634"/>
      <c r="S8" s="1634"/>
      <c r="T8" s="1635"/>
    </row>
    <row r="9" spans="2:20" s="98" customFormat="1" ht="12.75" customHeight="1" x14ac:dyDescent="0.2">
      <c r="B9" s="1638"/>
      <c r="C9" s="1645" t="s">
        <v>61</v>
      </c>
      <c r="D9" s="1397" t="s">
        <v>1117</v>
      </c>
      <c r="E9" s="1552"/>
      <c r="F9" s="1642"/>
      <c r="G9" s="1390" t="s">
        <v>1299</v>
      </c>
      <c r="H9" s="1391"/>
      <c r="I9" s="1390" t="s">
        <v>1270</v>
      </c>
      <c r="J9" s="1390"/>
      <c r="K9" s="1392"/>
      <c r="L9" s="1641"/>
      <c r="M9" s="1411" t="s">
        <v>1117</v>
      </c>
      <c r="N9" s="1643"/>
      <c r="O9" s="1644"/>
      <c r="P9" s="1390" t="s">
        <v>1299</v>
      </c>
      <c r="Q9" s="1391"/>
      <c r="R9" s="1390" t="s">
        <v>1270</v>
      </c>
      <c r="S9" s="1390"/>
      <c r="T9" s="1392"/>
    </row>
    <row r="10" spans="2:20" s="216" customFormat="1" ht="36.6" customHeight="1" thickBot="1" x14ac:dyDescent="0.25">
      <c r="B10" s="1639"/>
      <c r="C10" s="1646"/>
      <c r="D10" s="1305" t="s">
        <v>62</v>
      </c>
      <c r="E10" s="1305" t="s">
        <v>63</v>
      </c>
      <c r="F10" s="1305" t="s">
        <v>64</v>
      </c>
      <c r="G10" s="1305" t="s">
        <v>62</v>
      </c>
      <c r="H10" s="1306" t="s">
        <v>63</v>
      </c>
      <c r="I10" s="1305" t="s">
        <v>62</v>
      </c>
      <c r="J10" s="1305" t="s">
        <v>63</v>
      </c>
      <c r="K10" s="1337" t="s">
        <v>64</v>
      </c>
      <c r="L10" s="1336" t="s">
        <v>65</v>
      </c>
      <c r="M10" s="1309" t="s">
        <v>62</v>
      </c>
      <c r="N10" s="1309" t="s">
        <v>63</v>
      </c>
      <c r="O10" s="1310" t="s">
        <v>64</v>
      </c>
      <c r="P10" s="1311" t="s">
        <v>62</v>
      </c>
      <c r="Q10" s="1311" t="s">
        <v>63</v>
      </c>
      <c r="R10" s="1311" t="s">
        <v>62</v>
      </c>
      <c r="S10" s="1311" t="s">
        <v>63</v>
      </c>
      <c r="T10" s="1307" t="s">
        <v>64</v>
      </c>
    </row>
    <row r="11" spans="2:20" ht="11.45" customHeight="1" x14ac:dyDescent="0.2">
      <c r="B11" s="1375">
        <v>1</v>
      </c>
      <c r="C11" s="1271" t="s">
        <v>24</v>
      </c>
      <c r="D11" s="124"/>
      <c r="E11" s="124"/>
      <c r="F11" s="124"/>
      <c r="G11" s="124"/>
      <c r="H11" s="124"/>
      <c r="I11" s="124"/>
      <c r="J11" s="124"/>
      <c r="K11" s="1293"/>
      <c r="L11" s="1272" t="s">
        <v>25</v>
      </c>
      <c r="M11" s="1273"/>
      <c r="N11" s="1273"/>
      <c r="O11" s="1274"/>
      <c r="P11" s="205"/>
      <c r="Q11" s="205"/>
      <c r="R11" s="205"/>
      <c r="S11" s="205"/>
      <c r="T11" s="1313"/>
    </row>
    <row r="12" spans="2:20" x14ac:dyDescent="0.2">
      <c r="B12" s="1376">
        <f t="shared" ref="B12:B54" si="0">B11+1</f>
        <v>2</v>
      </c>
      <c r="C12" s="121" t="s">
        <v>35</v>
      </c>
      <c r="D12" s="95"/>
      <c r="E12" s="95"/>
      <c r="F12" s="95">
        <f>SUM(D12:E12)</f>
        <v>0</v>
      </c>
      <c r="G12" s="95"/>
      <c r="H12" s="95"/>
      <c r="I12" s="95"/>
      <c r="J12" s="95"/>
      <c r="K12" s="1294"/>
      <c r="L12" s="95" t="s">
        <v>230</v>
      </c>
      <c r="M12" s="199">
        <v>85000</v>
      </c>
      <c r="N12" s="199">
        <v>2719</v>
      </c>
      <c r="O12" s="1275">
        <f>SUM(M12:N12)</f>
        <v>87719</v>
      </c>
      <c r="P12" s="1274"/>
      <c r="Q12" s="1274">
        <v>2777</v>
      </c>
      <c r="R12" s="1274">
        <f>M12+P12</f>
        <v>85000</v>
      </c>
      <c r="S12" s="1274">
        <f>N12+Q12</f>
        <v>5496</v>
      </c>
      <c r="T12" s="1316">
        <f>R12+S12</f>
        <v>90496</v>
      </c>
    </row>
    <row r="13" spans="2:20" x14ac:dyDescent="0.2">
      <c r="B13" s="1376">
        <f t="shared" si="0"/>
        <v>3</v>
      </c>
      <c r="C13" s="121" t="s">
        <v>36</v>
      </c>
      <c r="D13" s="95"/>
      <c r="E13" s="95"/>
      <c r="F13" s="95">
        <f>SUM(D13:E13)</f>
        <v>0</v>
      </c>
      <c r="G13" s="95"/>
      <c r="H13" s="95"/>
      <c r="I13" s="95"/>
      <c r="J13" s="95"/>
      <c r="K13" s="1294"/>
      <c r="L13" s="1292" t="s">
        <v>231</v>
      </c>
      <c r="M13" s="199">
        <v>16138</v>
      </c>
      <c r="N13" s="199">
        <v>1160</v>
      </c>
      <c r="O13" s="1275">
        <f>SUM(M13:N13)</f>
        <v>17298</v>
      </c>
      <c r="P13" s="1274"/>
      <c r="Q13" s="1274">
        <v>542</v>
      </c>
      <c r="R13" s="1274">
        <f t="shared" ref="R13:R14" si="1">M13+P13</f>
        <v>16138</v>
      </c>
      <c r="S13" s="1274">
        <f t="shared" ref="S13:S14" si="2">N13+Q13</f>
        <v>1702</v>
      </c>
      <c r="T13" s="1316">
        <f t="shared" ref="T13:T14" si="3">R13+S13</f>
        <v>17840</v>
      </c>
    </row>
    <row r="14" spans="2:20" x14ac:dyDescent="0.2">
      <c r="B14" s="1376">
        <f t="shared" si="0"/>
        <v>4</v>
      </c>
      <c r="C14" s="121" t="s">
        <v>37</v>
      </c>
      <c r="D14" s="95"/>
      <c r="E14" s="95"/>
      <c r="F14" s="95">
        <f>SUM(D14:E14)</f>
        <v>0</v>
      </c>
      <c r="G14" s="95"/>
      <c r="H14" s="95"/>
      <c r="I14" s="95"/>
      <c r="J14" s="95"/>
      <c r="K14" s="1294"/>
      <c r="L14" s="95" t="s">
        <v>232</v>
      </c>
      <c r="M14" s="199">
        <v>13994</v>
      </c>
      <c r="N14" s="199"/>
      <c r="O14" s="1275">
        <f>SUM(M14:N14)</f>
        <v>13994</v>
      </c>
      <c r="P14" s="1274">
        <v>3</v>
      </c>
      <c r="Q14" s="1274"/>
      <c r="R14" s="1274">
        <f t="shared" si="1"/>
        <v>13997</v>
      </c>
      <c r="S14" s="1274">
        <f t="shared" si="2"/>
        <v>0</v>
      </c>
      <c r="T14" s="1316">
        <f t="shared" si="3"/>
        <v>13997</v>
      </c>
    </row>
    <row r="15" spans="2:20" ht="12" customHeight="1" x14ac:dyDescent="0.2">
      <c r="B15" s="1376">
        <f t="shared" si="0"/>
        <v>5</v>
      </c>
      <c r="C15" s="1276"/>
      <c r="D15" s="95"/>
      <c r="E15" s="95"/>
      <c r="F15" s="95"/>
      <c r="G15" s="95"/>
      <c r="H15" s="95"/>
      <c r="I15" s="95"/>
      <c r="J15" s="95"/>
      <c r="K15" s="1294"/>
      <c r="L15" s="95"/>
      <c r="M15" s="199"/>
      <c r="N15" s="199"/>
      <c r="O15" s="199"/>
      <c r="P15" s="1274"/>
      <c r="Q15" s="1274"/>
      <c r="R15" s="205"/>
      <c r="S15" s="205"/>
      <c r="T15" s="1313"/>
    </row>
    <row r="16" spans="2:20" x14ac:dyDescent="0.2">
      <c r="B16" s="1376">
        <f t="shared" si="0"/>
        <v>6</v>
      </c>
      <c r="C16" s="121" t="s">
        <v>38</v>
      </c>
      <c r="D16" s="95"/>
      <c r="E16" s="95"/>
      <c r="F16" s="95">
        <f>SUM(D16:E16)</f>
        <v>0</v>
      </c>
      <c r="G16" s="95"/>
      <c r="H16" s="95"/>
      <c r="I16" s="95"/>
      <c r="J16" s="95"/>
      <c r="K16" s="1294"/>
      <c r="L16" s="95" t="s">
        <v>28</v>
      </c>
      <c r="M16" s="1274"/>
      <c r="N16" s="1274"/>
      <c r="O16" s="1274"/>
      <c r="P16" s="1274"/>
      <c r="Q16" s="1274"/>
      <c r="R16" s="205"/>
      <c r="S16" s="205"/>
      <c r="T16" s="1313"/>
    </row>
    <row r="17" spans="2:20" x14ac:dyDescent="0.2">
      <c r="B17" s="1376">
        <f t="shared" si="0"/>
        <v>7</v>
      </c>
      <c r="C17" s="121"/>
      <c r="D17" s="95"/>
      <c r="E17" s="95"/>
      <c r="F17" s="95"/>
      <c r="G17" s="95"/>
      <c r="H17" s="95"/>
      <c r="I17" s="95"/>
      <c r="J17" s="95"/>
      <c r="K17" s="1294"/>
      <c r="L17" s="95" t="s">
        <v>30</v>
      </c>
      <c r="M17" s="1274"/>
      <c r="N17" s="1274"/>
      <c r="O17" s="1274"/>
      <c r="P17" s="1274"/>
      <c r="Q17" s="1274"/>
      <c r="R17" s="205"/>
      <c r="S17" s="205"/>
      <c r="T17" s="1313"/>
    </row>
    <row r="18" spans="2:20" x14ac:dyDescent="0.2">
      <c r="B18" s="1376">
        <f t="shared" si="0"/>
        <v>8</v>
      </c>
      <c r="C18" s="121" t="s">
        <v>39</v>
      </c>
      <c r="D18" s="95"/>
      <c r="E18" s="95"/>
      <c r="F18" s="95">
        <f>SUM(D18:E18)</f>
        <v>0</v>
      </c>
      <c r="G18" s="95"/>
      <c r="H18" s="95"/>
      <c r="I18" s="95"/>
      <c r="J18" s="95"/>
      <c r="K18" s="1294"/>
      <c r="L18" s="95" t="s">
        <v>471</v>
      </c>
      <c r="M18" s="1274"/>
      <c r="N18" s="1274"/>
      <c r="O18" s="1274"/>
      <c r="P18" s="1274"/>
      <c r="Q18" s="1274"/>
      <c r="R18" s="205"/>
      <c r="S18" s="205"/>
      <c r="T18" s="1313"/>
    </row>
    <row r="19" spans="2:20" x14ac:dyDescent="0.2">
      <c r="B19" s="1376">
        <f t="shared" si="0"/>
        <v>9</v>
      </c>
      <c r="C19" s="123" t="s">
        <v>40</v>
      </c>
      <c r="D19" s="1278"/>
      <c r="E19" s="1278"/>
      <c r="F19" s="1278"/>
      <c r="G19" s="1278"/>
      <c r="H19" s="1278"/>
      <c r="I19" s="1278"/>
      <c r="J19" s="1278"/>
      <c r="K19" s="1296"/>
      <c r="L19" s="95" t="s">
        <v>470</v>
      </c>
      <c r="M19" s="1274"/>
      <c r="N19" s="1274"/>
      <c r="O19" s="1274"/>
      <c r="P19" s="1274"/>
      <c r="Q19" s="1274"/>
      <c r="R19" s="205"/>
      <c r="S19" s="205"/>
      <c r="T19" s="1313"/>
    </row>
    <row r="20" spans="2:20" x14ac:dyDescent="0.2">
      <c r="B20" s="1376">
        <f t="shared" si="0"/>
        <v>10</v>
      </c>
      <c r="C20" s="121" t="s">
        <v>41</v>
      </c>
      <c r="D20" s="1278"/>
      <c r="E20" s="1278"/>
      <c r="F20" s="1278">
        <f>SUM(D20:E20)</f>
        <v>0</v>
      </c>
      <c r="G20" s="1278"/>
      <c r="H20" s="1278"/>
      <c r="I20" s="1278"/>
      <c r="J20" s="1278"/>
      <c r="K20" s="1296"/>
      <c r="L20" s="122" t="s">
        <v>976</v>
      </c>
      <c r="M20" s="1274"/>
      <c r="N20" s="1274"/>
      <c r="O20" s="1274"/>
      <c r="P20" s="1274"/>
      <c r="Q20" s="1274"/>
      <c r="R20" s="205"/>
      <c r="S20" s="205"/>
      <c r="T20" s="1313"/>
    </row>
    <row r="21" spans="2:20" x14ac:dyDescent="0.2">
      <c r="B21" s="1376">
        <f t="shared" si="0"/>
        <v>11</v>
      </c>
      <c r="C21" s="1279"/>
      <c r="D21" s="1278"/>
      <c r="E21" s="1278"/>
      <c r="F21" s="1278"/>
      <c r="G21" s="1278"/>
      <c r="H21" s="1278"/>
      <c r="I21" s="1278"/>
      <c r="J21" s="1278"/>
      <c r="K21" s="1296"/>
      <c r="L21" s="95" t="s">
        <v>977</v>
      </c>
      <c r="M21" s="1274"/>
      <c r="N21" s="1274"/>
      <c r="O21" s="1274"/>
      <c r="P21" s="1274"/>
      <c r="Q21" s="1274"/>
      <c r="R21" s="205"/>
      <c r="S21" s="205"/>
      <c r="T21" s="1313"/>
    </row>
    <row r="22" spans="2:20" s="100" customFormat="1" x14ac:dyDescent="0.2">
      <c r="B22" s="1376">
        <f t="shared" si="0"/>
        <v>12</v>
      </c>
      <c r="C22" s="1279" t="s">
        <v>42</v>
      </c>
      <c r="D22" s="1278"/>
      <c r="E22" s="1278"/>
      <c r="F22" s="1278"/>
      <c r="G22" s="1278"/>
      <c r="H22" s="1278"/>
      <c r="I22" s="1278"/>
      <c r="J22" s="1278"/>
      <c r="K22" s="1296"/>
      <c r="L22" s="95" t="s">
        <v>978</v>
      </c>
      <c r="M22" s="1274"/>
      <c r="N22" s="1274"/>
      <c r="O22" s="1274"/>
      <c r="P22" s="1289"/>
      <c r="Q22" s="1289"/>
      <c r="R22" s="1280"/>
      <c r="S22" s="1280"/>
      <c r="T22" s="1314"/>
    </row>
    <row r="23" spans="2:20" s="100" customFormat="1" x14ac:dyDescent="0.2">
      <c r="B23" s="1376">
        <f t="shared" si="0"/>
        <v>13</v>
      </c>
      <c r="C23" s="1279" t="s">
        <v>43</v>
      </c>
      <c r="D23" s="1278"/>
      <c r="E23" s="1278"/>
      <c r="F23" s="1278"/>
      <c r="G23" s="1278"/>
      <c r="H23" s="1278"/>
      <c r="I23" s="1278"/>
      <c r="J23" s="1278"/>
      <c r="K23" s="1296"/>
      <c r="L23" s="122"/>
      <c r="M23" s="1274"/>
      <c r="N23" s="1274"/>
      <c r="O23" s="1274"/>
      <c r="P23" s="1289"/>
      <c r="Q23" s="1289"/>
      <c r="R23" s="1280"/>
      <c r="S23" s="1280"/>
      <c r="T23" s="1314"/>
    </row>
    <row r="24" spans="2:20" x14ac:dyDescent="0.2">
      <c r="B24" s="1376">
        <f t="shared" si="0"/>
        <v>14</v>
      </c>
      <c r="C24" s="121" t="s">
        <v>44</v>
      </c>
      <c r="D24" s="1281"/>
      <c r="E24" s="1281"/>
      <c r="F24" s="1281"/>
      <c r="G24" s="1281"/>
      <c r="H24" s="1281"/>
      <c r="I24" s="1281"/>
      <c r="J24" s="1281"/>
      <c r="K24" s="1297"/>
      <c r="L24" s="1282" t="s">
        <v>66</v>
      </c>
      <c r="M24" s="1283">
        <f>SUM(M12:M22)</f>
        <v>115132</v>
      </c>
      <c r="N24" s="1283">
        <f>SUM(N12:N22)</f>
        <v>3879</v>
      </c>
      <c r="O24" s="1283">
        <f>SUM(O12:O22)</f>
        <v>119011</v>
      </c>
      <c r="P24" s="1283">
        <f>SUM(P12:P23)</f>
        <v>3</v>
      </c>
      <c r="Q24" s="1283">
        <f>SUM(Q12:Q23)</f>
        <v>3319</v>
      </c>
      <c r="R24" s="1283">
        <f>SUM(R12:R23)</f>
        <v>115135</v>
      </c>
      <c r="S24" s="1283">
        <f>SUM(S12:S23)</f>
        <v>7198</v>
      </c>
      <c r="T24" s="1329">
        <f>SUM(T12:T23)</f>
        <v>122333</v>
      </c>
    </row>
    <row r="25" spans="2:20" x14ac:dyDescent="0.2">
      <c r="B25" s="1376">
        <f t="shared" si="0"/>
        <v>15</v>
      </c>
      <c r="C25" s="121" t="s">
        <v>45</v>
      </c>
      <c r="D25" s="1278"/>
      <c r="E25" s="1278"/>
      <c r="F25" s="1278"/>
      <c r="G25" s="1278"/>
      <c r="H25" s="1278"/>
      <c r="I25" s="1278"/>
      <c r="J25" s="1278"/>
      <c r="K25" s="1296"/>
      <c r="L25" s="122"/>
      <c r="M25" s="1274"/>
      <c r="N25" s="1274"/>
      <c r="O25" s="1274"/>
      <c r="P25" s="1274"/>
      <c r="Q25" s="1274"/>
      <c r="R25" s="205"/>
      <c r="S25" s="205"/>
      <c r="T25" s="1313"/>
    </row>
    <row r="26" spans="2:20" x14ac:dyDescent="0.2">
      <c r="B26" s="1376">
        <f t="shared" si="0"/>
        <v>16</v>
      </c>
      <c r="C26" s="121" t="s">
        <v>46</v>
      </c>
      <c r="D26" s="1272"/>
      <c r="E26" s="1272"/>
      <c r="F26" s="1272"/>
      <c r="G26" s="1272"/>
      <c r="H26" s="1272"/>
      <c r="I26" s="1272"/>
      <c r="J26" s="1272"/>
      <c r="K26" s="1298"/>
      <c r="L26" s="1272" t="s">
        <v>34</v>
      </c>
      <c r="M26" s="1273"/>
      <c r="N26" s="1273"/>
      <c r="O26" s="1274"/>
      <c r="P26" s="1274"/>
      <c r="Q26" s="1274"/>
      <c r="R26" s="205"/>
      <c r="S26" s="205"/>
      <c r="T26" s="1313"/>
    </row>
    <row r="27" spans="2:20" x14ac:dyDescent="0.2">
      <c r="B27" s="1376">
        <f t="shared" si="0"/>
        <v>17</v>
      </c>
      <c r="C27" s="121" t="s">
        <v>47</v>
      </c>
      <c r="D27" s="95"/>
      <c r="E27" s="95"/>
      <c r="F27" s="95"/>
      <c r="G27" s="95"/>
      <c r="H27" s="95"/>
      <c r="I27" s="95"/>
      <c r="J27" s="95"/>
      <c r="K27" s="1294"/>
      <c r="L27" s="95" t="s">
        <v>241</v>
      </c>
      <c r="M27" s="1274">
        <f>'felhalm. kiad.  '!M139</f>
        <v>1400</v>
      </c>
      <c r="N27" s="1274">
        <f>'felhalm. kiad.  '!P139</f>
        <v>0</v>
      </c>
      <c r="O27" s="1274">
        <f>SUM(M27:N27)</f>
        <v>1400</v>
      </c>
      <c r="P27" s="1274"/>
      <c r="Q27" s="1274"/>
      <c r="R27" s="1274">
        <f>M27+P27</f>
        <v>1400</v>
      </c>
      <c r="S27" s="1274">
        <f>N27+Q27</f>
        <v>0</v>
      </c>
      <c r="T27" s="1316">
        <f>R27+S27</f>
        <v>1400</v>
      </c>
    </row>
    <row r="28" spans="2:20" x14ac:dyDescent="0.2">
      <c r="B28" s="1376">
        <f t="shared" si="0"/>
        <v>18</v>
      </c>
      <c r="C28" s="121"/>
      <c r="D28" s="95"/>
      <c r="E28" s="95"/>
      <c r="F28" s="95"/>
      <c r="G28" s="95"/>
      <c r="H28" s="95"/>
      <c r="I28" s="95"/>
      <c r="J28" s="95"/>
      <c r="K28" s="1294"/>
      <c r="L28" s="95" t="s">
        <v>31</v>
      </c>
      <c r="M28" s="1274"/>
      <c r="N28" s="1274"/>
      <c r="O28" s="1274"/>
      <c r="P28" s="1274"/>
      <c r="Q28" s="1274"/>
      <c r="R28" s="205"/>
      <c r="S28" s="205"/>
      <c r="T28" s="1313"/>
    </row>
    <row r="29" spans="2:20" x14ac:dyDescent="0.2">
      <c r="B29" s="1376">
        <f t="shared" si="0"/>
        <v>19</v>
      </c>
      <c r="C29" s="1279" t="s">
        <v>50</v>
      </c>
      <c r="D29" s="95"/>
      <c r="E29" s="95"/>
      <c r="F29" s="95"/>
      <c r="G29" s="95"/>
      <c r="H29" s="95"/>
      <c r="I29" s="95"/>
      <c r="J29" s="95"/>
      <c r="K29" s="1294"/>
      <c r="L29" s="95" t="s">
        <v>32</v>
      </c>
      <c r="M29" s="1274"/>
      <c r="N29" s="1274"/>
      <c r="O29" s="1274"/>
      <c r="P29" s="1274"/>
      <c r="Q29" s="1274"/>
      <c r="R29" s="205"/>
      <c r="S29" s="205"/>
      <c r="T29" s="1313"/>
    </row>
    <row r="30" spans="2:20" s="100" customFormat="1" x14ac:dyDescent="0.2">
      <c r="B30" s="1376">
        <f t="shared" si="0"/>
        <v>20</v>
      </c>
      <c r="C30" s="1279" t="s">
        <v>48</v>
      </c>
      <c r="D30" s="95"/>
      <c r="E30" s="95"/>
      <c r="F30" s="95"/>
      <c r="G30" s="95"/>
      <c r="H30" s="95"/>
      <c r="I30" s="95"/>
      <c r="J30" s="95"/>
      <c r="K30" s="1294"/>
      <c r="L30" s="95" t="s">
        <v>472</v>
      </c>
      <c r="M30" s="1274"/>
      <c r="N30" s="1274"/>
      <c r="O30" s="1274"/>
      <c r="P30" s="1289"/>
      <c r="Q30" s="1289"/>
      <c r="R30" s="1280"/>
      <c r="S30" s="1280"/>
      <c r="T30" s="1314"/>
    </row>
    <row r="31" spans="2:20" x14ac:dyDescent="0.2">
      <c r="B31" s="1376">
        <f t="shared" si="0"/>
        <v>21</v>
      </c>
      <c r="C31" s="1279"/>
      <c r="D31" s="95"/>
      <c r="E31" s="95"/>
      <c r="F31" s="95"/>
      <c r="G31" s="95"/>
      <c r="H31" s="95"/>
      <c r="I31" s="95"/>
      <c r="J31" s="95"/>
      <c r="K31" s="1294"/>
      <c r="L31" s="95" t="s">
        <v>469</v>
      </c>
      <c r="M31" s="1274"/>
      <c r="N31" s="1274"/>
      <c r="O31" s="1274"/>
      <c r="P31" s="1274"/>
      <c r="Q31" s="1274"/>
      <c r="R31" s="205"/>
      <c r="S31" s="205"/>
      <c r="T31" s="1313"/>
    </row>
    <row r="32" spans="2:20" s="11" customFormat="1" x14ac:dyDescent="0.2">
      <c r="B32" s="1376">
        <f t="shared" si="0"/>
        <v>22</v>
      </c>
      <c r="C32" s="1284" t="s">
        <v>52</v>
      </c>
      <c r="D32" s="1285">
        <f>D14+D20</f>
        <v>0</v>
      </c>
      <c r="E32" s="1285">
        <f>E14+E20</f>
        <v>0</v>
      </c>
      <c r="F32" s="1285">
        <f>F14+F20</f>
        <v>0</v>
      </c>
      <c r="G32" s="1285"/>
      <c r="H32" s="1285"/>
      <c r="I32" s="1285">
        <f>D32+G32</f>
        <v>0</v>
      </c>
      <c r="J32" s="1285">
        <f>E32+H32</f>
        <v>0</v>
      </c>
      <c r="K32" s="1332">
        <f>I32+J32</f>
        <v>0</v>
      </c>
      <c r="L32" s="95" t="s">
        <v>465</v>
      </c>
      <c r="M32" s="1274"/>
      <c r="N32" s="1274"/>
      <c r="O32" s="1274"/>
      <c r="P32" s="1273"/>
      <c r="Q32" s="1273"/>
      <c r="R32" s="1286"/>
      <c r="S32" s="1286"/>
      <c r="T32" s="1315"/>
    </row>
    <row r="33" spans="2:20" x14ac:dyDescent="0.2">
      <c r="B33" s="1376">
        <f t="shared" si="0"/>
        <v>23</v>
      </c>
      <c r="C33" s="1287" t="s">
        <v>67</v>
      </c>
      <c r="D33" s="1288"/>
      <c r="E33" s="1288"/>
      <c r="F33" s="1288"/>
      <c r="G33" s="1288"/>
      <c r="H33" s="1288"/>
      <c r="I33" s="1278"/>
      <c r="J33" s="1288"/>
      <c r="K33" s="1299"/>
      <c r="L33" s="1281" t="s">
        <v>68</v>
      </c>
      <c r="M33" s="1289">
        <f>SUM(M27:M32)</f>
        <v>1400</v>
      </c>
      <c r="N33" s="1289">
        <f>SUM(N27:N32)</f>
        <v>0</v>
      </c>
      <c r="O33" s="1289">
        <f>SUM(O27:O31)</f>
        <v>1400</v>
      </c>
      <c r="P33" s="1289"/>
      <c r="Q33" s="1289"/>
      <c r="R33" s="1289">
        <f>SUM(R27:R32)</f>
        <v>1400</v>
      </c>
      <c r="S33" s="1289">
        <f>SUM(S27:S32)</f>
        <v>0</v>
      </c>
      <c r="T33" s="1330">
        <f>SUM(T27:T32)</f>
        <v>1400</v>
      </c>
    </row>
    <row r="34" spans="2:20" x14ac:dyDescent="0.2">
      <c r="B34" s="1376">
        <f t="shared" si="0"/>
        <v>24</v>
      </c>
      <c r="C34" s="126" t="s">
        <v>51</v>
      </c>
      <c r="D34" s="124">
        <f>SUM(D32:D33)</f>
        <v>0</v>
      </c>
      <c r="E34" s="124">
        <f>SUM(E32:E33)</f>
        <v>0</v>
      </c>
      <c r="F34" s="124">
        <f>SUM(D34:E34)</f>
        <v>0</v>
      </c>
      <c r="G34" s="124"/>
      <c r="H34" s="124"/>
      <c r="I34" s="1334">
        <f t="shared" ref="I34:J34" si="4">D34+G34</f>
        <v>0</v>
      </c>
      <c r="J34" s="1334">
        <f t="shared" si="4"/>
        <v>0</v>
      </c>
      <c r="K34" s="1293">
        <f>I34+J34</f>
        <v>0</v>
      </c>
      <c r="L34" s="124" t="s">
        <v>69</v>
      </c>
      <c r="M34" s="1273">
        <f>M24+M33</f>
        <v>116532</v>
      </c>
      <c r="N34" s="1273">
        <f>N24+N33</f>
        <v>3879</v>
      </c>
      <c r="O34" s="1273">
        <f>O24+O33</f>
        <v>120411</v>
      </c>
      <c r="P34" s="1273">
        <f>P24+P33</f>
        <v>3</v>
      </c>
      <c r="Q34" s="1273">
        <f>Q24+Q33</f>
        <v>3319</v>
      </c>
      <c r="R34" s="1273">
        <f t="shared" ref="R34:T34" si="5">R24+R33</f>
        <v>116535</v>
      </c>
      <c r="S34" s="1273">
        <f t="shared" si="5"/>
        <v>7198</v>
      </c>
      <c r="T34" s="1331">
        <f t="shared" si="5"/>
        <v>123733</v>
      </c>
    </row>
    <row r="35" spans="2:20" x14ac:dyDescent="0.2">
      <c r="B35" s="1376">
        <f t="shared" si="0"/>
        <v>25</v>
      </c>
      <c r="C35" s="1279"/>
      <c r="D35" s="122"/>
      <c r="E35" s="122"/>
      <c r="F35" s="122"/>
      <c r="G35" s="122"/>
      <c r="H35" s="122"/>
      <c r="I35" s="122"/>
      <c r="J35" s="122"/>
      <c r="K35" s="1300"/>
      <c r="L35" s="122"/>
      <c r="M35" s="1274"/>
      <c r="N35" s="1274"/>
      <c r="O35" s="1274"/>
      <c r="P35" s="1274"/>
      <c r="Q35" s="1274"/>
      <c r="R35" s="205"/>
      <c r="S35" s="205"/>
      <c r="T35" s="1313"/>
    </row>
    <row r="36" spans="2:20" x14ac:dyDescent="0.2">
      <c r="B36" s="1376">
        <f t="shared" si="0"/>
        <v>26</v>
      </c>
      <c r="C36" s="1279"/>
      <c r="D36" s="122"/>
      <c r="E36" s="122"/>
      <c r="F36" s="122"/>
      <c r="G36" s="122"/>
      <c r="H36" s="122"/>
      <c r="I36" s="122"/>
      <c r="J36" s="122"/>
      <c r="K36" s="1300"/>
      <c r="L36" s="1282"/>
      <c r="M36" s="1283"/>
      <c r="N36" s="1283"/>
      <c r="O36" s="1283"/>
      <c r="P36" s="1274"/>
      <c r="Q36" s="1274"/>
      <c r="R36" s="205"/>
      <c r="S36" s="205"/>
      <c r="T36" s="1313"/>
    </row>
    <row r="37" spans="2:20" s="11" customFormat="1" x14ac:dyDescent="0.2">
      <c r="B37" s="1376">
        <f t="shared" si="0"/>
        <v>27</v>
      </c>
      <c r="C37" s="1279"/>
      <c r="D37" s="122"/>
      <c r="E37" s="122"/>
      <c r="F37" s="122"/>
      <c r="G37" s="122"/>
      <c r="H37" s="122"/>
      <c r="I37" s="122"/>
      <c r="J37" s="122"/>
      <c r="K37" s="1300"/>
      <c r="L37" s="122"/>
      <c r="M37" s="1274"/>
      <c r="N37" s="1274"/>
      <c r="O37" s="1274"/>
      <c r="P37" s="1273"/>
      <c r="Q37" s="1273"/>
      <c r="R37" s="1286"/>
      <c r="S37" s="1286"/>
      <c r="T37" s="1315"/>
    </row>
    <row r="38" spans="2:20" s="11" customFormat="1" x14ac:dyDescent="0.2">
      <c r="B38" s="1376">
        <f t="shared" si="0"/>
        <v>28</v>
      </c>
      <c r="C38" s="1272" t="s">
        <v>53</v>
      </c>
      <c r="D38" s="1272"/>
      <c r="E38" s="1272"/>
      <c r="F38" s="1272"/>
      <c r="G38" s="1272"/>
      <c r="H38" s="1272"/>
      <c r="I38" s="1272"/>
      <c r="J38" s="1272"/>
      <c r="K38" s="1298"/>
      <c r="L38" s="1272" t="s">
        <v>33</v>
      </c>
      <c r="M38" s="1273"/>
      <c r="N38" s="1273"/>
      <c r="O38" s="1273"/>
      <c r="P38" s="1273"/>
      <c r="Q38" s="1273"/>
      <c r="R38" s="1286"/>
      <c r="S38" s="1286"/>
      <c r="T38" s="1315"/>
    </row>
    <row r="39" spans="2:20" s="11" customFormat="1" x14ac:dyDescent="0.2">
      <c r="B39" s="1376">
        <f t="shared" si="0"/>
        <v>29</v>
      </c>
      <c r="C39" s="1290" t="s">
        <v>725</v>
      </c>
      <c r="D39" s="1272"/>
      <c r="E39" s="1272"/>
      <c r="F39" s="1272"/>
      <c r="G39" s="1272"/>
      <c r="H39" s="1272"/>
      <c r="I39" s="1272"/>
      <c r="J39" s="1272"/>
      <c r="K39" s="1298"/>
      <c r="L39" s="1290" t="s">
        <v>4</v>
      </c>
      <c r="M39" s="1273"/>
      <c r="N39" s="1286"/>
      <c r="O39" s="1286"/>
      <c r="P39" s="1273"/>
      <c r="Q39" s="1273"/>
      <c r="R39" s="1286"/>
      <c r="S39" s="1286"/>
      <c r="T39" s="1315"/>
    </row>
    <row r="40" spans="2:20" s="11" customFormat="1" x14ac:dyDescent="0.2">
      <c r="B40" s="1376">
        <f t="shared" si="0"/>
        <v>30</v>
      </c>
      <c r="C40" s="121" t="s">
        <v>1016</v>
      </c>
      <c r="D40" s="1272"/>
      <c r="E40" s="1272"/>
      <c r="F40" s="1272"/>
      <c r="G40" s="1272"/>
      <c r="H40" s="1272"/>
      <c r="I40" s="1272"/>
      <c r="J40" s="1272"/>
      <c r="K40" s="1298"/>
      <c r="L40" s="121" t="s">
        <v>3</v>
      </c>
      <c r="M40" s="1273"/>
      <c r="N40" s="1273"/>
      <c r="O40" s="1273"/>
      <c r="P40" s="1273"/>
      <c r="Q40" s="1273"/>
      <c r="R40" s="1286"/>
      <c r="S40" s="1286"/>
      <c r="T40" s="1315"/>
    </row>
    <row r="41" spans="2:20" x14ac:dyDescent="0.2">
      <c r="B41" s="1376">
        <f t="shared" si="0"/>
        <v>31</v>
      </c>
      <c r="C41" s="95" t="s">
        <v>727</v>
      </c>
      <c r="D41" s="1291"/>
      <c r="E41" s="1291"/>
      <c r="F41" s="1291"/>
      <c r="G41" s="1291"/>
      <c r="H41" s="1291"/>
      <c r="I41" s="1291"/>
      <c r="J41" s="1291"/>
      <c r="K41" s="1301"/>
      <c r="L41" s="95" t="s">
        <v>5</v>
      </c>
      <c r="M41" s="1273"/>
      <c r="N41" s="1273"/>
      <c r="O41" s="1273"/>
      <c r="P41" s="1274"/>
      <c r="Q41" s="1274"/>
      <c r="R41" s="205"/>
      <c r="S41" s="205"/>
      <c r="T41" s="1313"/>
    </row>
    <row r="42" spans="2:20" x14ac:dyDescent="0.2">
      <c r="B42" s="1376">
        <f t="shared" si="0"/>
        <v>32</v>
      </c>
      <c r="C42" s="95" t="s">
        <v>222</v>
      </c>
      <c r="D42" s="95"/>
      <c r="E42" s="95"/>
      <c r="F42" s="95"/>
      <c r="G42" s="95"/>
      <c r="H42" s="95"/>
      <c r="I42" s="95"/>
      <c r="J42" s="95"/>
      <c r="K42" s="1294"/>
      <c r="L42" s="95" t="s">
        <v>6</v>
      </c>
      <c r="M42" s="1273"/>
      <c r="N42" s="1273"/>
      <c r="O42" s="1273"/>
      <c r="P42" s="1274"/>
      <c r="Q42" s="1274"/>
      <c r="R42" s="205"/>
      <c r="S42" s="205"/>
      <c r="T42" s="1313"/>
    </row>
    <row r="43" spans="2:20" x14ac:dyDescent="0.2">
      <c r="B43" s="1376">
        <f t="shared" si="0"/>
        <v>33</v>
      </c>
      <c r="C43" s="1292" t="s">
        <v>223</v>
      </c>
      <c r="D43" s="95"/>
      <c r="E43" s="95"/>
      <c r="F43" s="95">
        <f>D43+E43</f>
        <v>0</v>
      </c>
      <c r="G43" s="95">
        <v>3</v>
      </c>
      <c r="H43" s="95"/>
      <c r="I43" s="95">
        <f>D43+G43</f>
        <v>3</v>
      </c>
      <c r="J43" s="95">
        <f t="shared" ref="J43:K43" si="6">E43+H43</f>
        <v>0</v>
      </c>
      <c r="K43" s="1294">
        <f t="shared" si="6"/>
        <v>3</v>
      </c>
      <c r="L43" s="95" t="s">
        <v>7</v>
      </c>
      <c r="M43" s="1273"/>
      <c r="N43" s="1273"/>
      <c r="O43" s="1273"/>
      <c r="P43" s="1274"/>
      <c r="Q43" s="1274"/>
      <c r="R43" s="205"/>
      <c r="S43" s="205"/>
      <c r="T43" s="1313"/>
    </row>
    <row r="44" spans="2:20" x14ac:dyDescent="0.2">
      <c r="B44" s="1376">
        <f t="shared" si="0"/>
        <v>34</v>
      </c>
      <c r="C44" s="1292" t="s">
        <v>1012</v>
      </c>
      <c r="D44" s="95"/>
      <c r="E44" s="95"/>
      <c r="F44" s="95"/>
      <c r="G44" s="95"/>
      <c r="H44" s="95"/>
      <c r="I44" s="95"/>
      <c r="J44" s="95"/>
      <c r="K44" s="1294"/>
      <c r="L44" s="95"/>
      <c r="M44" s="1273"/>
      <c r="N44" s="1273"/>
      <c r="O44" s="1273"/>
      <c r="P44" s="1274"/>
      <c r="Q44" s="1274"/>
      <c r="R44" s="205"/>
      <c r="S44" s="205"/>
      <c r="T44" s="1313"/>
    </row>
    <row r="45" spans="2:20" x14ac:dyDescent="0.2">
      <c r="B45" s="1376">
        <f t="shared" si="0"/>
        <v>35</v>
      </c>
      <c r="C45" s="95" t="s">
        <v>728</v>
      </c>
      <c r="D45" s="95"/>
      <c r="E45" s="95"/>
      <c r="F45" s="95"/>
      <c r="G45" s="95"/>
      <c r="H45" s="95"/>
      <c r="I45" s="95"/>
      <c r="J45" s="95"/>
      <c r="K45" s="1294"/>
      <c r="L45" s="95" t="s">
        <v>8</v>
      </c>
      <c r="M45" s="1273"/>
      <c r="N45" s="1273"/>
      <c r="O45" s="1274"/>
      <c r="P45" s="1274"/>
      <c r="Q45" s="1274"/>
      <c r="R45" s="205"/>
      <c r="S45" s="205"/>
      <c r="T45" s="1313"/>
    </row>
    <row r="46" spans="2:20" x14ac:dyDescent="0.2">
      <c r="B46" s="1376">
        <f t="shared" si="0"/>
        <v>36</v>
      </c>
      <c r="C46" s="95" t="s">
        <v>729</v>
      </c>
      <c r="D46" s="1272"/>
      <c r="E46" s="1272"/>
      <c r="F46" s="1272"/>
      <c r="G46" s="1272"/>
      <c r="H46" s="1272"/>
      <c r="I46" s="1272"/>
      <c r="J46" s="1272"/>
      <c r="K46" s="1298"/>
      <c r="L46" s="95" t="s">
        <v>9</v>
      </c>
      <c r="M46" s="1273"/>
      <c r="N46" s="1273"/>
      <c r="O46" s="1274"/>
      <c r="P46" s="1274"/>
      <c r="Q46" s="1274"/>
      <c r="R46" s="205"/>
      <c r="S46" s="205"/>
      <c r="T46" s="1313"/>
    </row>
    <row r="47" spans="2:20" x14ac:dyDescent="0.2">
      <c r="B47" s="1376">
        <f t="shared" si="0"/>
        <v>37</v>
      </c>
      <c r="C47" s="95" t="s">
        <v>226</v>
      </c>
      <c r="D47" s="95"/>
      <c r="E47" s="95"/>
      <c r="F47" s="95"/>
      <c r="G47" s="95"/>
      <c r="H47" s="95"/>
      <c r="I47" s="95"/>
      <c r="J47" s="95"/>
      <c r="K47" s="1294"/>
      <c r="L47" s="95" t="s">
        <v>10</v>
      </c>
      <c r="M47" s="1274"/>
      <c r="N47" s="1274"/>
      <c r="O47" s="1274"/>
      <c r="P47" s="1274"/>
      <c r="Q47" s="1274"/>
      <c r="R47" s="205"/>
      <c r="S47" s="205"/>
      <c r="T47" s="1313"/>
    </row>
    <row r="48" spans="2:20" x14ac:dyDescent="0.2">
      <c r="B48" s="1376">
        <f t="shared" si="0"/>
        <v>38</v>
      </c>
      <c r="C48" s="1292" t="s">
        <v>227</v>
      </c>
      <c r="D48" s="95">
        <f>M24-(D34+D43)</f>
        <v>115132</v>
      </c>
      <c r="E48" s="95">
        <f>N24-(E34+E43)</f>
        <v>3879</v>
      </c>
      <c r="F48" s="95">
        <f>O24-(F34+F43)</f>
        <v>119011</v>
      </c>
      <c r="G48" s="95">
        <f t="shared" ref="G48:K48" si="7">P24-(G34+G43)</f>
        <v>0</v>
      </c>
      <c r="H48" s="95">
        <f t="shared" si="7"/>
        <v>3319</v>
      </c>
      <c r="I48" s="95">
        <f t="shared" si="7"/>
        <v>115132</v>
      </c>
      <c r="J48" s="95">
        <f t="shared" si="7"/>
        <v>7198</v>
      </c>
      <c r="K48" s="1294">
        <f t="shared" si="7"/>
        <v>122330</v>
      </c>
      <c r="L48" s="95" t="s">
        <v>11</v>
      </c>
      <c r="M48" s="1274"/>
      <c r="N48" s="1274"/>
      <c r="O48" s="1274"/>
      <c r="P48" s="1274"/>
      <c r="Q48" s="1274"/>
      <c r="R48" s="205"/>
      <c r="S48" s="205"/>
      <c r="T48" s="1313"/>
    </row>
    <row r="49" spans="2:20" x14ac:dyDescent="0.2">
      <c r="B49" s="1376">
        <f t="shared" si="0"/>
        <v>39</v>
      </c>
      <c r="C49" s="1292" t="s">
        <v>228</v>
      </c>
      <c r="D49" s="95">
        <f>M33-D33</f>
        <v>1400</v>
      </c>
      <c r="E49" s="95"/>
      <c r="F49" s="95">
        <f>O33-F33</f>
        <v>1400</v>
      </c>
      <c r="G49" s="95">
        <f t="shared" ref="G49:K49" si="8">P33-G33</f>
        <v>0</v>
      </c>
      <c r="H49" s="95">
        <f t="shared" si="8"/>
        <v>0</v>
      </c>
      <c r="I49" s="95">
        <f t="shared" si="8"/>
        <v>1400</v>
      </c>
      <c r="J49" s="95">
        <f t="shared" si="8"/>
        <v>0</v>
      </c>
      <c r="K49" s="1294">
        <f t="shared" si="8"/>
        <v>1400</v>
      </c>
      <c r="L49" s="95" t="s">
        <v>12</v>
      </c>
      <c r="M49" s="1274"/>
      <c r="N49" s="1274"/>
      <c r="O49" s="1274"/>
      <c r="P49" s="1274"/>
      <c r="Q49" s="1274"/>
      <c r="R49" s="205"/>
      <c r="S49" s="205"/>
      <c r="T49" s="1313"/>
    </row>
    <row r="50" spans="2:20" x14ac:dyDescent="0.2">
      <c r="B50" s="1376">
        <f t="shared" si="0"/>
        <v>40</v>
      </c>
      <c r="C50" s="95" t="s">
        <v>1</v>
      </c>
      <c r="D50" s="95"/>
      <c r="E50" s="95"/>
      <c r="F50" s="95"/>
      <c r="G50" s="95"/>
      <c r="H50" s="95"/>
      <c r="I50" s="95"/>
      <c r="J50" s="95"/>
      <c r="K50" s="1294"/>
      <c r="L50" s="95" t="s">
        <v>13</v>
      </c>
      <c r="M50" s="1274"/>
      <c r="N50" s="1274"/>
      <c r="O50" s="1274"/>
      <c r="P50" s="1274"/>
      <c r="Q50" s="1274"/>
      <c r="R50" s="205"/>
      <c r="S50" s="205"/>
      <c r="T50" s="1313"/>
    </row>
    <row r="51" spans="2:20" x14ac:dyDescent="0.2">
      <c r="B51" s="1376">
        <f t="shared" si="0"/>
        <v>41</v>
      </c>
      <c r="C51" s="95"/>
      <c r="D51" s="95"/>
      <c r="E51" s="95"/>
      <c r="F51" s="95"/>
      <c r="G51" s="95"/>
      <c r="H51" s="95"/>
      <c r="I51" s="95"/>
      <c r="J51" s="95"/>
      <c r="K51" s="1294"/>
      <c r="L51" s="95" t="s">
        <v>14</v>
      </c>
      <c r="M51" s="1274"/>
      <c r="N51" s="1274"/>
      <c r="O51" s="1274"/>
      <c r="P51" s="1274"/>
      <c r="Q51" s="1274"/>
      <c r="R51" s="205"/>
      <c r="S51" s="205"/>
      <c r="T51" s="1313"/>
    </row>
    <row r="52" spans="2:20" x14ac:dyDescent="0.2">
      <c r="B52" s="1376">
        <f t="shared" si="0"/>
        <v>42</v>
      </c>
      <c r="C52" s="95"/>
      <c r="D52" s="95"/>
      <c r="E52" s="95"/>
      <c r="F52" s="95"/>
      <c r="G52" s="95"/>
      <c r="H52" s="95"/>
      <c r="I52" s="95"/>
      <c r="J52" s="95"/>
      <c r="K52" s="1294"/>
      <c r="L52" s="95" t="s">
        <v>15</v>
      </c>
      <c r="M52" s="1274"/>
      <c r="N52" s="1274"/>
      <c r="O52" s="1274"/>
      <c r="P52" s="1274"/>
      <c r="Q52" s="1274"/>
      <c r="R52" s="205"/>
      <c r="S52" s="205"/>
      <c r="T52" s="1313"/>
    </row>
    <row r="53" spans="2:20" ht="12" thickBot="1" x14ac:dyDescent="0.25">
      <c r="B53" s="1376">
        <f t="shared" si="0"/>
        <v>43</v>
      </c>
      <c r="C53" s="126" t="s">
        <v>473</v>
      </c>
      <c r="D53" s="1272">
        <f>SUM(D39:D51)</f>
        <v>116532</v>
      </c>
      <c r="E53" s="1272">
        <f>SUM(E39:E51)</f>
        <v>3879</v>
      </c>
      <c r="F53" s="1272">
        <f>SUM(F39:F51)</f>
        <v>120411</v>
      </c>
      <c r="G53" s="1272">
        <f>SUM(G48:G52)</f>
        <v>0</v>
      </c>
      <c r="H53" s="1272">
        <f>SUM(H48:H52)</f>
        <v>3319</v>
      </c>
      <c r="I53" s="1272">
        <f>SUM(I43:I52)</f>
        <v>116535</v>
      </c>
      <c r="J53" s="1272">
        <f>SUM(J48:J52)</f>
        <v>7198</v>
      </c>
      <c r="K53" s="1298">
        <f>SUM(K43:K52)</f>
        <v>123733</v>
      </c>
      <c r="L53" s="1272" t="s">
        <v>466</v>
      </c>
      <c r="M53" s="1273">
        <f>SUM(M39:M52)</f>
        <v>0</v>
      </c>
      <c r="N53" s="1273">
        <f>SUM(N39:N52)</f>
        <v>0</v>
      </c>
      <c r="O53" s="1273">
        <f>SUM(O39:O52)</f>
        <v>0</v>
      </c>
      <c r="P53" s="1274"/>
      <c r="Q53" s="1274"/>
      <c r="R53" s="1273">
        <f>M53+P53</f>
        <v>0</v>
      </c>
      <c r="S53" s="1273">
        <f>N53+Q53</f>
        <v>0</v>
      </c>
      <c r="T53" s="1339">
        <f>R53+S53</f>
        <v>0</v>
      </c>
    </row>
    <row r="54" spans="2:20" ht="12" thickBot="1" x14ac:dyDescent="0.25">
      <c r="B54" s="737">
        <f t="shared" si="0"/>
        <v>44</v>
      </c>
      <c r="C54" s="1317" t="s">
        <v>468</v>
      </c>
      <c r="D54" s="697">
        <f>D34+D53</f>
        <v>116532</v>
      </c>
      <c r="E54" s="697">
        <f>E34+E53</f>
        <v>3879</v>
      </c>
      <c r="F54" s="697">
        <f>F34+F53</f>
        <v>120411</v>
      </c>
      <c r="G54" s="697">
        <f>G53+G34</f>
        <v>0</v>
      </c>
      <c r="H54" s="697">
        <f t="shared" ref="H54:K54" si="9">H53+H34</f>
        <v>3319</v>
      </c>
      <c r="I54" s="697">
        <f t="shared" si="9"/>
        <v>116535</v>
      </c>
      <c r="J54" s="697">
        <f t="shared" si="9"/>
        <v>7198</v>
      </c>
      <c r="K54" s="1338">
        <f t="shared" si="9"/>
        <v>123733</v>
      </c>
      <c r="L54" s="1317" t="s">
        <v>467</v>
      </c>
      <c r="M54" s="739">
        <f>M34+M53</f>
        <v>116532</v>
      </c>
      <c r="N54" s="739">
        <f>N34+N53</f>
        <v>3879</v>
      </c>
      <c r="O54" s="739">
        <f>O34+O53</f>
        <v>120411</v>
      </c>
      <c r="P54" s="739">
        <f>P34</f>
        <v>3</v>
      </c>
      <c r="Q54" s="739">
        <f t="shared" ref="Q54:T54" si="10">Q34</f>
        <v>3319</v>
      </c>
      <c r="R54" s="739">
        <f t="shared" si="10"/>
        <v>116535</v>
      </c>
      <c r="S54" s="739">
        <f t="shared" si="10"/>
        <v>7198</v>
      </c>
      <c r="T54" s="1318">
        <f t="shared" si="10"/>
        <v>123733</v>
      </c>
    </row>
    <row r="55" spans="2:20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7"/>
      <c r="M55" s="131"/>
      <c r="N55" s="131"/>
      <c r="O55" s="131"/>
      <c r="P55" s="10"/>
    </row>
    <row r="56" spans="2:20" x14ac:dyDescent="0.2">
      <c r="B56" s="1279"/>
      <c r="F56" s="122"/>
    </row>
    <row r="57" spans="2:20" x14ac:dyDescent="0.2">
      <c r="B57" s="1279"/>
    </row>
  </sheetData>
  <sheetProtection selectLockedCells="1" selectUnlockedCells="1"/>
  <mergeCells count="16">
    <mergeCell ref="B8:B10"/>
    <mergeCell ref="L8:L9"/>
    <mergeCell ref="D9:F9"/>
    <mergeCell ref="M9:O9"/>
    <mergeCell ref="G9:H9"/>
    <mergeCell ref="I9:K9"/>
    <mergeCell ref="D8:K8"/>
    <mergeCell ref="C9:C10"/>
    <mergeCell ref="P9:Q9"/>
    <mergeCell ref="R9:T9"/>
    <mergeCell ref="M8:T8"/>
    <mergeCell ref="C1:T1"/>
    <mergeCell ref="C4:T4"/>
    <mergeCell ref="C5:T5"/>
    <mergeCell ref="C6:T6"/>
    <mergeCell ref="C7:T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6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55"/>
  <sheetViews>
    <sheetView workbookViewId="0">
      <selection activeCell="G14" sqref="G14"/>
    </sheetView>
  </sheetViews>
  <sheetFormatPr defaultColWidth="9.140625" defaultRowHeight="11.25" x14ac:dyDescent="0.2"/>
  <cols>
    <col min="1" max="1" width="1.140625" style="10" customWidth="1"/>
    <col min="2" max="2" width="4.85546875" style="116" customWidth="1"/>
    <col min="3" max="3" width="38.28515625" style="116" customWidth="1"/>
    <col min="4" max="4" width="10.140625" style="117" customWidth="1"/>
    <col min="5" max="5" width="11.140625" style="117" customWidth="1"/>
    <col min="6" max="8" width="11.5703125" style="117" customWidth="1"/>
    <col min="9" max="9" width="11.7109375" style="117" customWidth="1"/>
    <col min="10" max="11" width="11.5703125" style="117" customWidth="1"/>
    <col min="12" max="12" width="38" style="117" customWidth="1"/>
    <col min="13" max="13" width="10.42578125" style="117" customWidth="1"/>
    <col min="14" max="14" width="12" style="204" customWidth="1"/>
    <col min="15" max="15" width="13.28515625" style="204" customWidth="1"/>
    <col min="16" max="16" width="9.140625" style="116"/>
    <col min="17" max="17" width="9.140625" style="10"/>
    <col min="18" max="18" width="12" style="10" customWidth="1"/>
    <col min="19" max="19" width="11.42578125" style="10" customWidth="1"/>
    <col min="20" max="20" width="10.7109375" style="10" customWidth="1"/>
    <col min="21" max="16384" width="9.140625" style="10"/>
  </cols>
  <sheetData>
    <row r="1" spans="2:20" ht="12.75" customHeight="1" x14ac:dyDescent="0.2">
      <c r="D1" s="1386" t="s">
        <v>1294</v>
      </c>
      <c r="E1" s="1386"/>
      <c r="F1" s="1386"/>
      <c r="G1" s="1386"/>
      <c r="H1" s="1386"/>
      <c r="I1" s="1386"/>
      <c r="J1" s="1386"/>
      <c r="K1" s="1386"/>
      <c r="L1" s="1386"/>
      <c r="M1" s="1386"/>
      <c r="N1" s="1386"/>
      <c r="O1" s="1386"/>
      <c r="P1" s="1386"/>
      <c r="Q1" s="1386"/>
      <c r="R1" s="1386"/>
      <c r="S1" s="1386"/>
      <c r="T1" s="1386"/>
    </row>
    <row r="2" spans="2:20" x14ac:dyDescent="0.2">
      <c r="O2" s="253"/>
    </row>
    <row r="3" spans="2:20" x14ac:dyDescent="0.2">
      <c r="O3" s="253"/>
    </row>
    <row r="4" spans="2:20" s="98" customFormat="1" x14ac:dyDescent="0.2">
      <c r="B4" s="119"/>
      <c r="C4" s="1387" t="s">
        <v>78</v>
      </c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387"/>
      <c r="P4" s="1387"/>
      <c r="Q4" s="1387"/>
      <c r="R4" s="1387"/>
      <c r="S4" s="1387"/>
      <c r="T4" s="1387"/>
    </row>
    <row r="5" spans="2:20" s="98" customFormat="1" x14ac:dyDescent="0.2">
      <c r="B5" s="119"/>
      <c r="C5" s="1530" t="s">
        <v>733</v>
      </c>
      <c r="D5" s="1530"/>
      <c r="E5" s="1530"/>
      <c r="F5" s="1530"/>
      <c r="G5" s="1530"/>
      <c r="H5" s="1530"/>
      <c r="I5" s="1530"/>
      <c r="J5" s="1530"/>
      <c r="K5" s="1530"/>
      <c r="L5" s="1530"/>
      <c r="M5" s="1530"/>
      <c r="N5" s="1530"/>
      <c r="O5" s="1530"/>
      <c r="P5" s="1530"/>
      <c r="Q5" s="1530"/>
      <c r="R5" s="1530"/>
      <c r="S5" s="1530"/>
      <c r="T5" s="1530"/>
    </row>
    <row r="6" spans="2:20" s="98" customFormat="1" ht="12.75" customHeight="1" x14ac:dyDescent="0.2">
      <c r="B6" s="119"/>
      <c r="C6" s="1648" t="s">
        <v>1125</v>
      </c>
      <c r="D6" s="1648"/>
      <c r="E6" s="1648"/>
      <c r="F6" s="1648"/>
      <c r="G6" s="1648"/>
      <c r="H6" s="1648"/>
      <c r="I6" s="1648"/>
      <c r="J6" s="1648"/>
      <c r="K6" s="1648"/>
      <c r="L6" s="1648"/>
      <c r="M6" s="1648"/>
      <c r="N6" s="1648"/>
      <c r="O6" s="1648"/>
      <c r="P6" s="1648"/>
      <c r="Q6" s="1648"/>
      <c r="R6" s="1648"/>
      <c r="S6" s="1648"/>
      <c r="T6" s="1648"/>
    </row>
    <row r="7" spans="2:20" s="98" customFormat="1" ht="12" thickBot="1" x14ac:dyDescent="0.25">
      <c r="B7" s="119"/>
      <c r="C7" s="1647" t="s">
        <v>320</v>
      </c>
      <c r="D7" s="1647"/>
      <c r="E7" s="1647"/>
      <c r="F7" s="1647"/>
      <c r="G7" s="1647"/>
      <c r="H7" s="1647"/>
      <c r="I7" s="1647"/>
      <c r="J7" s="1647"/>
      <c r="K7" s="1647"/>
      <c r="L7" s="1647"/>
      <c r="M7" s="1647"/>
      <c r="N7" s="1647"/>
      <c r="O7" s="1647"/>
      <c r="P7" s="1647"/>
      <c r="Q7" s="1647"/>
      <c r="R7" s="1647"/>
      <c r="S7" s="1647"/>
      <c r="T7" s="1647"/>
    </row>
    <row r="8" spans="2:20" s="98" customFormat="1" ht="12.75" customHeight="1" x14ac:dyDescent="0.2">
      <c r="B8" s="1522" t="s">
        <v>56</v>
      </c>
      <c r="C8" s="1401" t="s">
        <v>57</v>
      </c>
      <c r="D8" s="1519" t="s">
        <v>58</v>
      </c>
      <c r="E8" s="1520"/>
      <c r="F8" s="1520"/>
      <c r="G8" s="1520"/>
      <c r="H8" s="1520"/>
      <c r="I8" s="1520"/>
      <c r="J8" s="1520"/>
      <c r="K8" s="1521"/>
      <c r="L8" s="1525" t="s">
        <v>59</v>
      </c>
      <c r="M8" s="1630" t="s">
        <v>60</v>
      </c>
      <c r="N8" s="1630"/>
      <c r="O8" s="1630"/>
      <c r="P8" s="1630"/>
      <c r="Q8" s="1630"/>
      <c r="R8" s="1630"/>
      <c r="S8" s="1630"/>
      <c r="T8" s="1631"/>
    </row>
    <row r="9" spans="2:20" s="98" customFormat="1" ht="12.75" customHeight="1" x14ac:dyDescent="0.2">
      <c r="B9" s="1523"/>
      <c r="C9" s="1402"/>
      <c r="D9" s="1396" t="s">
        <v>1289</v>
      </c>
      <c r="E9" s="1396"/>
      <c r="F9" s="1397"/>
      <c r="G9" s="1390" t="s">
        <v>1299</v>
      </c>
      <c r="H9" s="1391"/>
      <c r="I9" s="1390" t="s">
        <v>1270</v>
      </c>
      <c r="J9" s="1390"/>
      <c r="K9" s="1392"/>
      <c r="L9" s="1526"/>
      <c r="M9" s="1396" t="s">
        <v>1289</v>
      </c>
      <c r="N9" s="1396"/>
      <c r="O9" s="1397"/>
      <c r="P9" s="1420" t="s">
        <v>1299</v>
      </c>
      <c r="Q9" s="1421"/>
      <c r="R9" s="1420" t="s">
        <v>1270</v>
      </c>
      <c r="S9" s="1420"/>
      <c r="T9" s="1527"/>
    </row>
    <row r="10" spans="2:20" s="99" customFormat="1" ht="36.6" customHeight="1" thickBot="1" x14ac:dyDescent="0.25">
      <c r="B10" s="1632"/>
      <c r="C10" s="1304" t="s">
        <v>61</v>
      </c>
      <c r="D10" s="1305" t="s">
        <v>62</v>
      </c>
      <c r="E10" s="1305" t="s">
        <v>63</v>
      </c>
      <c r="F10" s="1305" t="s">
        <v>64</v>
      </c>
      <c r="G10" s="1305" t="s">
        <v>62</v>
      </c>
      <c r="H10" s="1306" t="s">
        <v>63</v>
      </c>
      <c r="I10" s="1305" t="s">
        <v>62</v>
      </c>
      <c r="J10" s="1306" t="s">
        <v>63</v>
      </c>
      <c r="K10" s="1307" t="s">
        <v>64</v>
      </c>
      <c r="L10" s="1308" t="s">
        <v>65</v>
      </c>
      <c r="M10" s="1305" t="s">
        <v>62</v>
      </c>
      <c r="N10" s="1309" t="s">
        <v>63</v>
      </c>
      <c r="O10" s="1310" t="s">
        <v>64</v>
      </c>
      <c r="P10" s="1311" t="s">
        <v>62</v>
      </c>
      <c r="Q10" s="1311" t="s">
        <v>63</v>
      </c>
      <c r="R10" s="1311" t="s">
        <v>62</v>
      </c>
      <c r="S10" s="1311" t="s">
        <v>63</v>
      </c>
      <c r="T10" s="1307" t="s">
        <v>64</v>
      </c>
    </row>
    <row r="11" spans="2:20" ht="11.45" customHeight="1" x14ac:dyDescent="0.2">
      <c r="B11" s="1375">
        <v>1</v>
      </c>
      <c r="C11" s="1271" t="s">
        <v>24</v>
      </c>
      <c r="D11" s="124"/>
      <c r="E11" s="124"/>
      <c r="F11" s="124"/>
      <c r="G11" s="124"/>
      <c r="H11" s="124"/>
      <c r="I11" s="124"/>
      <c r="J11" s="124"/>
      <c r="K11" s="1293"/>
      <c r="L11" s="1272" t="s">
        <v>25</v>
      </c>
      <c r="M11" s="124"/>
      <c r="N11" s="1273"/>
      <c r="O11" s="1274"/>
      <c r="P11" s="205"/>
      <c r="Q11" s="205"/>
      <c r="R11" s="205"/>
      <c r="S11" s="205"/>
      <c r="T11" s="1312"/>
    </row>
    <row r="12" spans="2:20" x14ac:dyDescent="0.2">
      <c r="B12" s="1376">
        <f t="shared" ref="B12:B54" si="0">B11+1</f>
        <v>2</v>
      </c>
      <c r="C12" s="121" t="s">
        <v>35</v>
      </c>
      <c r="D12" s="95"/>
      <c r="E12" s="95"/>
      <c r="F12" s="95"/>
      <c r="G12" s="95"/>
      <c r="H12" s="95"/>
      <c r="I12" s="95"/>
      <c r="J12" s="95"/>
      <c r="K12" s="1294"/>
      <c r="L12" s="95" t="s">
        <v>230</v>
      </c>
      <c r="M12" s="199">
        <v>50000</v>
      </c>
      <c r="N12" s="199">
        <f>36406+1935</f>
        <v>38341</v>
      </c>
      <c r="O12" s="1275">
        <f>SUM(M12:N12)</f>
        <v>88341</v>
      </c>
      <c r="P12" s="1274"/>
      <c r="Q12" s="1274">
        <v>1822</v>
      </c>
      <c r="R12" s="1274">
        <f>M12+P12</f>
        <v>50000</v>
      </c>
      <c r="S12" s="1274">
        <f>N12+Q12</f>
        <v>40163</v>
      </c>
      <c r="T12" s="1316">
        <f>R12+S12</f>
        <v>90163</v>
      </c>
    </row>
    <row r="13" spans="2:20" x14ac:dyDescent="0.2">
      <c r="B13" s="1376">
        <f t="shared" si="0"/>
        <v>3</v>
      </c>
      <c r="C13" s="121" t="s">
        <v>36</v>
      </c>
      <c r="D13" s="95"/>
      <c r="E13" s="95"/>
      <c r="F13" s="95">
        <f t="shared" ref="F13:F18" si="1">SUM(D13:E13)</f>
        <v>0</v>
      </c>
      <c r="G13" s="95"/>
      <c r="H13" s="95"/>
      <c r="I13" s="95"/>
      <c r="J13" s="95"/>
      <c r="K13" s="1294"/>
      <c r="L13" s="95" t="s">
        <v>231</v>
      </c>
      <c r="M13" s="199">
        <v>8783</v>
      </c>
      <c r="N13" s="199">
        <f>9182+392</f>
        <v>9574</v>
      </c>
      <c r="O13" s="1275">
        <f>SUM(M13:N13)</f>
        <v>18357</v>
      </c>
      <c r="P13" s="1274"/>
      <c r="Q13" s="1274">
        <v>355</v>
      </c>
      <c r="R13" s="1274">
        <f t="shared" ref="R13:R14" si="2">M13+P13</f>
        <v>8783</v>
      </c>
      <c r="S13" s="1274">
        <f t="shared" ref="S13:S14" si="3">N13+Q13</f>
        <v>9929</v>
      </c>
      <c r="T13" s="1316">
        <f t="shared" ref="T13:T14" si="4">R13+S13</f>
        <v>18712</v>
      </c>
    </row>
    <row r="14" spans="2:20" x14ac:dyDescent="0.2">
      <c r="B14" s="1376">
        <f t="shared" si="0"/>
        <v>4</v>
      </c>
      <c r="C14" s="121" t="s">
        <v>37</v>
      </c>
      <c r="D14" s="95"/>
      <c r="E14" s="95"/>
      <c r="F14" s="95">
        <f t="shared" si="1"/>
        <v>0</v>
      </c>
      <c r="G14" s="95"/>
      <c r="H14" s="95"/>
      <c r="I14" s="95"/>
      <c r="J14" s="95"/>
      <c r="K14" s="1294"/>
      <c r="L14" s="95" t="s">
        <v>232</v>
      </c>
      <c r="M14" s="199">
        <v>52172</v>
      </c>
      <c r="N14" s="199">
        <v>106052</v>
      </c>
      <c r="O14" s="1275">
        <f>SUM(M14:N14)</f>
        <v>158224</v>
      </c>
      <c r="P14" s="1274">
        <v>6754</v>
      </c>
      <c r="Q14" s="1274">
        <v>-1756</v>
      </c>
      <c r="R14" s="1274">
        <f t="shared" si="2"/>
        <v>58926</v>
      </c>
      <c r="S14" s="1274">
        <f t="shared" si="3"/>
        <v>104296</v>
      </c>
      <c r="T14" s="1316">
        <f t="shared" si="4"/>
        <v>163222</v>
      </c>
    </row>
    <row r="15" spans="2:20" ht="12" customHeight="1" x14ac:dyDescent="0.2">
      <c r="B15" s="1376">
        <f t="shared" si="0"/>
        <v>5</v>
      </c>
      <c r="C15" s="1276"/>
      <c r="D15" s="95"/>
      <c r="E15" s="95"/>
      <c r="F15" s="95"/>
      <c r="G15" s="95"/>
      <c r="H15" s="95"/>
      <c r="I15" s="95"/>
      <c r="J15" s="95"/>
      <c r="K15" s="1294"/>
      <c r="L15" s="95"/>
      <c r="M15" s="199"/>
      <c r="N15" s="199"/>
      <c r="O15" s="199"/>
      <c r="P15" s="1274"/>
      <c r="Q15" s="1274"/>
      <c r="R15" s="205"/>
      <c r="S15" s="205"/>
      <c r="T15" s="1313"/>
    </row>
    <row r="16" spans="2:20" x14ac:dyDescent="0.2">
      <c r="B16" s="1376">
        <f t="shared" si="0"/>
        <v>6</v>
      </c>
      <c r="C16" s="121" t="s">
        <v>38</v>
      </c>
      <c r="D16" s="95"/>
      <c r="E16" s="95"/>
      <c r="F16" s="95">
        <f t="shared" si="1"/>
        <v>0</v>
      </c>
      <c r="G16" s="95"/>
      <c r="H16" s="95"/>
      <c r="I16" s="95"/>
      <c r="J16" s="95"/>
      <c r="K16" s="1294"/>
      <c r="L16" s="95" t="s">
        <v>28</v>
      </c>
      <c r="M16" s="122"/>
      <c r="N16" s="1274"/>
      <c r="O16" s="1274"/>
      <c r="P16" s="1274"/>
      <c r="Q16" s="1274"/>
      <c r="R16" s="205"/>
      <c r="S16" s="205"/>
      <c r="T16" s="1313"/>
    </row>
    <row r="17" spans="2:20" x14ac:dyDescent="0.2">
      <c r="B17" s="1376">
        <f t="shared" si="0"/>
        <v>7</v>
      </c>
      <c r="C17" s="121"/>
      <c r="D17" s="95"/>
      <c r="E17" s="95"/>
      <c r="F17" s="95"/>
      <c r="G17" s="95"/>
      <c r="H17" s="95"/>
      <c r="I17" s="95"/>
      <c r="J17" s="95"/>
      <c r="K17" s="1294"/>
      <c r="L17" s="95" t="s">
        <v>30</v>
      </c>
      <c r="M17" s="122"/>
      <c r="N17" s="1274"/>
      <c r="O17" s="1274"/>
      <c r="P17" s="1274"/>
      <c r="Q17" s="1274"/>
      <c r="R17" s="205"/>
      <c r="S17" s="205"/>
      <c r="T17" s="1313"/>
    </row>
    <row r="18" spans="2:20" x14ac:dyDescent="0.2">
      <c r="B18" s="1376">
        <f t="shared" si="0"/>
        <v>8</v>
      </c>
      <c r="C18" s="121" t="s">
        <v>39</v>
      </c>
      <c r="D18" s="95"/>
      <c r="E18" s="95"/>
      <c r="F18" s="95">
        <f t="shared" si="1"/>
        <v>0</v>
      </c>
      <c r="G18" s="95"/>
      <c r="H18" s="95"/>
      <c r="I18" s="95"/>
      <c r="J18" s="95"/>
      <c r="K18" s="1294"/>
      <c r="L18" s="95" t="s">
        <v>471</v>
      </c>
      <c r="M18" s="122"/>
      <c r="N18" s="1274"/>
      <c r="O18" s="1274"/>
      <c r="P18" s="1274"/>
      <c r="Q18" s="1274"/>
      <c r="R18" s="205"/>
      <c r="S18" s="205"/>
      <c r="T18" s="1313"/>
    </row>
    <row r="19" spans="2:20" x14ac:dyDescent="0.2">
      <c r="B19" s="1376">
        <f t="shared" si="0"/>
        <v>9</v>
      </c>
      <c r="C19" s="123" t="s">
        <v>40</v>
      </c>
      <c r="D19" s="1278"/>
      <c r="E19" s="1278"/>
      <c r="F19" s="1278"/>
      <c r="G19" s="1278"/>
      <c r="H19" s="1278"/>
      <c r="I19" s="1278"/>
      <c r="J19" s="1278"/>
      <c r="K19" s="1296"/>
      <c r="L19" s="95" t="s">
        <v>470</v>
      </c>
      <c r="M19" s="122"/>
      <c r="N19" s="1274"/>
      <c r="O19" s="1274"/>
      <c r="P19" s="1274"/>
      <c r="Q19" s="1274"/>
      <c r="R19" s="205"/>
      <c r="S19" s="205"/>
      <c r="T19" s="1313"/>
    </row>
    <row r="20" spans="2:20" x14ac:dyDescent="0.2">
      <c r="B20" s="1376">
        <f t="shared" si="0"/>
        <v>10</v>
      </c>
      <c r="C20" s="121" t="s">
        <v>209</v>
      </c>
      <c r="D20" s="1275">
        <f>39290+10000</f>
        <v>49290</v>
      </c>
      <c r="E20" s="1275">
        <f>28191+4500+2420</f>
        <v>35111</v>
      </c>
      <c r="F20" s="1278">
        <f>SUM(D20:E20)</f>
        <v>84401</v>
      </c>
      <c r="G20" s="1278"/>
      <c r="H20" s="1278">
        <v>1744</v>
      </c>
      <c r="I20" s="1278">
        <f>D20+G20</f>
        <v>49290</v>
      </c>
      <c r="J20" s="1278">
        <f>E20+H20</f>
        <v>36855</v>
      </c>
      <c r="K20" s="1296">
        <f>I20+J20</f>
        <v>86145</v>
      </c>
      <c r="L20" s="95" t="s">
        <v>975</v>
      </c>
      <c r="M20" s="122"/>
      <c r="N20" s="1274"/>
      <c r="O20" s="1274">
        <f>M20+N20</f>
        <v>0</v>
      </c>
      <c r="P20" s="1274"/>
      <c r="Q20" s="1274"/>
      <c r="R20" s="205"/>
      <c r="S20" s="205"/>
      <c r="T20" s="1313"/>
    </row>
    <row r="21" spans="2:20" x14ac:dyDescent="0.2">
      <c r="B21" s="1376">
        <f t="shared" si="0"/>
        <v>11</v>
      </c>
      <c r="C21" s="1279"/>
      <c r="D21" s="1278"/>
      <c r="E21" s="1278"/>
      <c r="F21" s="1278"/>
      <c r="G21" s="1278"/>
      <c r="H21" s="1278"/>
      <c r="I21" s="1278"/>
      <c r="J21" s="1278"/>
      <c r="K21" s="1296"/>
      <c r="L21" s="95" t="s">
        <v>463</v>
      </c>
      <c r="M21" s="122"/>
      <c r="N21" s="1274"/>
      <c r="O21" s="1274"/>
      <c r="P21" s="1274"/>
      <c r="Q21" s="1274"/>
      <c r="R21" s="205"/>
      <c r="S21" s="205"/>
      <c r="T21" s="1313"/>
    </row>
    <row r="22" spans="2:20" s="100" customFormat="1" x14ac:dyDescent="0.2">
      <c r="B22" s="1376">
        <f t="shared" si="0"/>
        <v>12</v>
      </c>
      <c r="C22" s="1279" t="s">
        <v>42</v>
      </c>
      <c r="D22" s="1278"/>
      <c r="E22" s="1278"/>
      <c r="F22" s="1278"/>
      <c r="G22" s="1278"/>
      <c r="H22" s="1278"/>
      <c r="I22" s="1278"/>
      <c r="J22" s="1278"/>
      <c r="K22" s="1296"/>
      <c r="L22" s="95" t="s">
        <v>464</v>
      </c>
      <c r="M22" s="122"/>
      <c r="N22" s="1274"/>
      <c r="O22" s="1274"/>
      <c r="P22" s="1289"/>
      <c r="Q22" s="1289"/>
      <c r="R22" s="1280"/>
      <c r="S22" s="1280"/>
      <c r="T22" s="1314"/>
    </row>
    <row r="23" spans="2:20" s="100" customFormat="1" x14ac:dyDescent="0.2">
      <c r="B23" s="1376">
        <f t="shared" si="0"/>
        <v>13</v>
      </c>
      <c r="C23" s="1279" t="s">
        <v>1293</v>
      </c>
      <c r="D23" s="1278"/>
      <c r="E23" s="1278"/>
      <c r="F23" s="1278"/>
      <c r="G23" s="1278"/>
      <c r="H23" s="1278"/>
      <c r="I23" s="1278"/>
      <c r="J23" s="1278"/>
      <c r="K23" s="1296"/>
      <c r="L23" s="122"/>
      <c r="M23" s="122"/>
      <c r="N23" s="1274"/>
      <c r="O23" s="1274"/>
      <c r="P23" s="1289"/>
      <c r="Q23" s="1289"/>
      <c r="R23" s="1280"/>
      <c r="S23" s="1280"/>
      <c r="T23" s="1314"/>
    </row>
    <row r="24" spans="2:20" x14ac:dyDescent="0.2">
      <c r="B24" s="1376">
        <f t="shared" si="0"/>
        <v>14</v>
      </c>
      <c r="C24" s="121" t="s">
        <v>44</v>
      </c>
      <c r="D24" s="1281"/>
      <c r="E24" s="1281"/>
      <c r="F24" s="1281"/>
      <c r="G24" s="1281"/>
      <c r="H24" s="1281"/>
      <c r="I24" s="1281"/>
      <c r="J24" s="1281"/>
      <c r="K24" s="1297"/>
      <c r="L24" s="1282" t="s">
        <v>66</v>
      </c>
      <c r="M24" s="1282">
        <f>SUM(M12:M22)</f>
        <v>110955</v>
      </c>
      <c r="N24" s="1283">
        <f>SUM(N12:N22)</f>
        <v>153967</v>
      </c>
      <c r="O24" s="1283">
        <f>SUM(O12:O22)</f>
        <v>264922</v>
      </c>
      <c r="P24" s="1283">
        <f>SUM(P12:P23)</f>
        <v>6754</v>
      </c>
      <c r="Q24" s="1283">
        <f>SUM(Q12:Q23)</f>
        <v>421</v>
      </c>
      <c r="R24" s="1283">
        <f>SUM(R12:R23)</f>
        <v>117709</v>
      </c>
      <c r="S24" s="1283">
        <f>SUM(S12:S23)</f>
        <v>154388</v>
      </c>
      <c r="T24" s="1329">
        <f>SUM(T12:T23)</f>
        <v>272097</v>
      </c>
    </row>
    <row r="25" spans="2:20" x14ac:dyDescent="0.2">
      <c r="B25" s="1376">
        <f t="shared" si="0"/>
        <v>15</v>
      </c>
      <c r="C25" s="121" t="s">
        <v>45</v>
      </c>
      <c r="D25" s="1278"/>
      <c r="E25" s="1278"/>
      <c r="F25" s="1278"/>
      <c r="G25" s="1278"/>
      <c r="H25" s="1278"/>
      <c r="I25" s="1278"/>
      <c r="J25" s="1278"/>
      <c r="K25" s="1296"/>
      <c r="L25" s="122"/>
      <c r="M25" s="122"/>
      <c r="N25" s="1274"/>
      <c r="O25" s="1274"/>
      <c r="P25" s="1274"/>
      <c r="Q25" s="1274"/>
      <c r="R25" s="1274"/>
      <c r="S25" s="205"/>
      <c r="T25" s="1313"/>
    </row>
    <row r="26" spans="2:20" x14ac:dyDescent="0.2">
      <c r="B26" s="1376">
        <f t="shared" si="0"/>
        <v>16</v>
      </c>
      <c r="C26" s="121" t="s">
        <v>46</v>
      </c>
      <c r="D26" s="1272"/>
      <c r="E26" s="1272"/>
      <c r="F26" s="1272"/>
      <c r="G26" s="1272"/>
      <c r="H26" s="1272"/>
      <c r="I26" s="1272"/>
      <c r="J26" s="1272"/>
      <c r="K26" s="1298"/>
      <c r="L26" s="1272" t="s">
        <v>34</v>
      </c>
      <c r="M26" s="124"/>
      <c r="N26" s="1273"/>
      <c r="O26" s="1274"/>
      <c r="P26" s="1274"/>
      <c r="Q26" s="1274"/>
      <c r="R26" s="205"/>
      <c r="S26" s="205"/>
      <c r="T26" s="1313"/>
    </row>
    <row r="27" spans="2:20" x14ac:dyDescent="0.2">
      <c r="B27" s="1376">
        <f t="shared" si="0"/>
        <v>17</v>
      </c>
      <c r="C27" s="121" t="s">
        <v>47</v>
      </c>
      <c r="D27" s="95"/>
      <c r="E27" s="95"/>
      <c r="F27" s="95"/>
      <c r="G27" s="95"/>
      <c r="H27" s="95"/>
      <c r="I27" s="95"/>
      <c r="J27" s="95"/>
      <c r="K27" s="1294"/>
      <c r="L27" s="95" t="s">
        <v>290</v>
      </c>
      <c r="M27" s="122">
        <f>'felhalm. kiad.  '!M125</f>
        <v>0</v>
      </c>
      <c r="N27" s="122">
        <f>'felhalm. kiad.  '!P125</f>
        <v>7370</v>
      </c>
      <c r="O27" s="122">
        <f>'felhalm. kiad.  '!J125</f>
        <v>7370</v>
      </c>
      <c r="P27" s="1274"/>
      <c r="Q27" s="1274">
        <v>3500</v>
      </c>
      <c r="R27" s="1274">
        <f>M27+P27</f>
        <v>0</v>
      </c>
      <c r="S27" s="1274">
        <f>N27+Q27</f>
        <v>10870</v>
      </c>
      <c r="T27" s="1316">
        <f>R27+S27</f>
        <v>10870</v>
      </c>
    </row>
    <row r="28" spans="2:20" x14ac:dyDescent="0.2">
      <c r="B28" s="1376">
        <f t="shared" si="0"/>
        <v>18</v>
      </c>
      <c r="C28" s="121"/>
      <c r="D28" s="95"/>
      <c r="E28" s="95"/>
      <c r="F28" s="95"/>
      <c r="G28" s="95"/>
      <c r="H28" s="95"/>
      <c r="I28" s="95"/>
      <c r="J28" s="95"/>
      <c r="K28" s="1294"/>
      <c r="L28" s="95" t="s">
        <v>31</v>
      </c>
      <c r="M28" s="122"/>
      <c r="N28" s="1274"/>
      <c r="O28" s="1274"/>
      <c r="P28" s="1274"/>
      <c r="Q28" s="1274"/>
      <c r="R28" s="205"/>
      <c r="S28" s="205"/>
      <c r="T28" s="1313"/>
    </row>
    <row r="29" spans="2:20" x14ac:dyDescent="0.2">
      <c r="B29" s="1376">
        <f t="shared" si="0"/>
        <v>19</v>
      </c>
      <c r="C29" s="1279" t="s">
        <v>50</v>
      </c>
      <c r="D29" s="95"/>
      <c r="E29" s="95"/>
      <c r="F29" s="95"/>
      <c r="G29" s="95"/>
      <c r="H29" s="95"/>
      <c r="I29" s="95"/>
      <c r="J29" s="95"/>
      <c r="K29" s="1294"/>
      <c r="L29" s="95" t="s">
        <v>32</v>
      </c>
      <c r="M29" s="122"/>
      <c r="N29" s="1274"/>
      <c r="O29" s="1274"/>
      <c r="P29" s="1274"/>
      <c r="Q29" s="1274"/>
      <c r="R29" s="205"/>
      <c r="S29" s="205"/>
      <c r="T29" s="1313"/>
    </row>
    <row r="30" spans="2:20" s="100" customFormat="1" x14ac:dyDescent="0.2">
      <c r="B30" s="1376">
        <f t="shared" si="0"/>
        <v>20</v>
      </c>
      <c r="C30" s="1279" t="s">
        <v>48</v>
      </c>
      <c r="D30" s="95"/>
      <c r="E30" s="95"/>
      <c r="F30" s="95"/>
      <c r="G30" s="95"/>
      <c r="H30" s="95"/>
      <c r="I30" s="95"/>
      <c r="J30" s="95"/>
      <c r="K30" s="1294"/>
      <c r="L30" s="95" t="s">
        <v>472</v>
      </c>
      <c r="M30" s="122"/>
      <c r="N30" s="1274"/>
      <c r="O30" s="1274"/>
      <c r="P30" s="1289"/>
      <c r="Q30" s="1289"/>
      <c r="R30" s="1280"/>
      <c r="S30" s="1280"/>
      <c r="T30" s="1314"/>
    </row>
    <row r="31" spans="2:20" x14ac:dyDescent="0.2">
      <c r="B31" s="1376">
        <f t="shared" si="0"/>
        <v>21</v>
      </c>
      <c r="C31" s="1279"/>
      <c r="D31" s="95"/>
      <c r="E31" s="95"/>
      <c r="F31" s="95"/>
      <c r="G31" s="95"/>
      <c r="H31" s="95"/>
      <c r="I31" s="95"/>
      <c r="J31" s="95"/>
      <c r="K31" s="1294"/>
      <c r="L31" s="95" t="s">
        <v>469</v>
      </c>
      <c r="M31" s="122"/>
      <c r="N31" s="1274"/>
      <c r="O31" s="1274"/>
      <c r="P31" s="1274"/>
      <c r="Q31" s="1274"/>
      <c r="R31" s="205"/>
      <c r="S31" s="205"/>
      <c r="T31" s="1313"/>
    </row>
    <row r="32" spans="2:20" s="11" customFormat="1" x14ac:dyDescent="0.2">
      <c r="B32" s="1376">
        <f t="shared" si="0"/>
        <v>22</v>
      </c>
      <c r="C32" s="1284" t="s">
        <v>52</v>
      </c>
      <c r="D32" s="1285">
        <f>D14+D20</f>
        <v>49290</v>
      </c>
      <c r="E32" s="1285">
        <f>E14+E20</f>
        <v>35111</v>
      </c>
      <c r="F32" s="1285">
        <f>F14+F20</f>
        <v>84401</v>
      </c>
      <c r="G32" s="1285">
        <f>G20+G13+G14+G18+G29</f>
        <v>0</v>
      </c>
      <c r="H32" s="1285">
        <f>H20+H13+H14+H18+H29</f>
        <v>1744</v>
      </c>
      <c r="I32" s="1285">
        <f t="shared" ref="I32:K32" si="5">I20+I13+I14+I18+I29</f>
        <v>49290</v>
      </c>
      <c r="J32" s="1285">
        <f t="shared" si="5"/>
        <v>36855</v>
      </c>
      <c r="K32" s="1332">
        <f t="shared" si="5"/>
        <v>86145</v>
      </c>
      <c r="L32" s="95" t="s">
        <v>465</v>
      </c>
      <c r="M32" s="122"/>
      <c r="N32" s="1274"/>
      <c r="O32" s="1274"/>
      <c r="P32" s="1273"/>
      <c r="Q32" s="1273"/>
      <c r="R32" s="1286"/>
      <c r="S32" s="1286"/>
      <c r="T32" s="1315"/>
    </row>
    <row r="33" spans="2:20" x14ac:dyDescent="0.2">
      <c r="B33" s="1376">
        <f t="shared" si="0"/>
        <v>23</v>
      </c>
      <c r="C33" s="1287" t="s">
        <v>67</v>
      </c>
      <c r="D33" s="1288"/>
      <c r="E33" s="1288"/>
      <c r="F33" s="1288"/>
      <c r="G33" s="1288"/>
      <c r="H33" s="1288"/>
      <c r="I33" s="1288"/>
      <c r="J33" s="1288"/>
      <c r="K33" s="1299"/>
      <c r="L33" s="1281" t="s">
        <v>68</v>
      </c>
      <c r="M33" s="1288">
        <f>SUM(M27:M32)</f>
        <v>0</v>
      </c>
      <c r="N33" s="1289">
        <f>SUM(N27:N32)</f>
        <v>7370</v>
      </c>
      <c r="O33" s="1289">
        <f>SUM(O27:O31)</f>
        <v>7370</v>
      </c>
      <c r="P33" s="1289"/>
      <c r="Q33" s="1289">
        <f>SUM(Q27:Q32)</f>
        <v>3500</v>
      </c>
      <c r="R33" s="1289">
        <f>SUM(R27:R32)</f>
        <v>0</v>
      </c>
      <c r="S33" s="1289">
        <f>SUM(S27:S32)</f>
        <v>10870</v>
      </c>
      <c r="T33" s="1330">
        <f>SUM(T27:T32)</f>
        <v>10870</v>
      </c>
    </row>
    <row r="34" spans="2:20" x14ac:dyDescent="0.2">
      <c r="B34" s="1376">
        <f t="shared" si="0"/>
        <v>24</v>
      </c>
      <c r="C34" s="126" t="s">
        <v>51</v>
      </c>
      <c r="D34" s="124">
        <f>SUM(D32:D33)</f>
        <v>49290</v>
      </c>
      <c r="E34" s="124">
        <f>SUM(E32:E33)</f>
        <v>35111</v>
      </c>
      <c r="F34" s="124">
        <f>SUM(D34:E34)</f>
        <v>84401</v>
      </c>
      <c r="G34" s="124">
        <f>G32+G33</f>
        <v>0</v>
      </c>
      <c r="H34" s="124">
        <f t="shared" ref="H34:K34" si="6">H32+H33</f>
        <v>1744</v>
      </c>
      <c r="I34" s="124">
        <f t="shared" si="6"/>
        <v>49290</v>
      </c>
      <c r="J34" s="124">
        <f t="shared" si="6"/>
        <v>36855</v>
      </c>
      <c r="K34" s="1293">
        <f t="shared" si="6"/>
        <v>86145</v>
      </c>
      <c r="L34" s="124" t="s">
        <v>69</v>
      </c>
      <c r="M34" s="124">
        <f>M24+M33</f>
        <v>110955</v>
      </c>
      <c r="N34" s="1273">
        <f>N24+N33</f>
        <v>161337</v>
      </c>
      <c r="O34" s="1273">
        <f>O24+O33</f>
        <v>272292</v>
      </c>
      <c r="P34" s="1273">
        <f>P24+P33</f>
        <v>6754</v>
      </c>
      <c r="Q34" s="1273">
        <f t="shared" ref="Q34:T34" si="7">Q24+Q33</f>
        <v>3921</v>
      </c>
      <c r="R34" s="1273">
        <f t="shared" si="7"/>
        <v>117709</v>
      </c>
      <c r="S34" s="1273">
        <f t="shared" si="7"/>
        <v>165258</v>
      </c>
      <c r="T34" s="1331">
        <f t="shared" si="7"/>
        <v>282967</v>
      </c>
    </row>
    <row r="35" spans="2:20" x14ac:dyDescent="0.2">
      <c r="B35" s="1376">
        <f t="shared" si="0"/>
        <v>25</v>
      </c>
      <c r="C35" s="1279"/>
      <c r="D35" s="122"/>
      <c r="E35" s="122"/>
      <c r="F35" s="122"/>
      <c r="G35" s="122"/>
      <c r="H35" s="122"/>
      <c r="I35" s="122"/>
      <c r="J35" s="122"/>
      <c r="K35" s="1300"/>
      <c r="L35" s="122"/>
      <c r="M35" s="122"/>
      <c r="N35" s="1274"/>
      <c r="O35" s="1274"/>
      <c r="P35" s="1274"/>
      <c r="Q35" s="1274"/>
      <c r="R35" s="205"/>
      <c r="S35" s="205"/>
      <c r="T35" s="1313"/>
    </row>
    <row r="36" spans="2:20" x14ac:dyDescent="0.2">
      <c r="B36" s="1376">
        <f t="shared" si="0"/>
        <v>26</v>
      </c>
      <c r="C36" s="1279"/>
      <c r="D36" s="122"/>
      <c r="E36" s="122"/>
      <c r="F36" s="122"/>
      <c r="G36" s="122"/>
      <c r="H36" s="122"/>
      <c r="I36" s="122"/>
      <c r="J36" s="122"/>
      <c r="K36" s="1300"/>
      <c r="L36" s="1282"/>
      <c r="M36" s="1282"/>
      <c r="N36" s="1283"/>
      <c r="O36" s="1283"/>
      <c r="P36" s="1274"/>
      <c r="Q36" s="1274"/>
      <c r="R36" s="205"/>
      <c r="S36" s="205"/>
      <c r="T36" s="1313"/>
    </row>
    <row r="37" spans="2:20" s="11" customFormat="1" x14ac:dyDescent="0.2">
      <c r="B37" s="1376">
        <f t="shared" si="0"/>
        <v>27</v>
      </c>
      <c r="C37" s="1279"/>
      <c r="D37" s="122"/>
      <c r="E37" s="122"/>
      <c r="F37" s="122"/>
      <c r="G37" s="122"/>
      <c r="H37" s="122"/>
      <c r="I37" s="122"/>
      <c r="J37" s="122"/>
      <c r="K37" s="1300"/>
      <c r="L37" s="122"/>
      <c r="M37" s="122"/>
      <c r="N37" s="1274"/>
      <c r="O37" s="1274"/>
      <c r="P37" s="1273"/>
      <c r="Q37" s="1273"/>
      <c r="R37" s="1286"/>
      <c r="S37" s="1286"/>
      <c r="T37" s="1315"/>
    </row>
    <row r="38" spans="2:20" s="11" customFormat="1" x14ac:dyDescent="0.2">
      <c r="B38" s="1376">
        <f t="shared" si="0"/>
        <v>28</v>
      </c>
      <c r="C38" s="1272" t="s">
        <v>53</v>
      </c>
      <c r="D38" s="1272"/>
      <c r="E38" s="1272"/>
      <c r="F38" s="1272"/>
      <c r="G38" s="1272"/>
      <c r="H38" s="1272"/>
      <c r="I38" s="1272"/>
      <c r="J38" s="1272"/>
      <c r="K38" s="1298"/>
      <c r="L38" s="1272" t="s">
        <v>33</v>
      </c>
      <c r="M38" s="124"/>
      <c r="N38" s="1273"/>
      <c r="O38" s="1273"/>
      <c r="P38" s="1273"/>
      <c r="Q38" s="1273"/>
      <c r="R38" s="1286"/>
      <c r="S38" s="1286"/>
      <c r="T38" s="1315"/>
    </row>
    <row r="39" spans="2:20" s="11" customFormat="1" ht="12" customHeight="1" x14ac:dyDescent="0.2">
      <c r="B39" s="1376">
        <f t="shared" si="0"/>
        <v>29</v>
      </c>
      <c r="C39" s="1290" t="s">
        <v>725</v>
      </c>
      <c r="D39" s="1272"/>
      <c r="E39" s="1272"/>
      <c r="F39" s="1272"/>
      <c r="G39" s="1272"/>
      <c r="H39" s="1272"/>
      <c r="I39" s="1272"/>
      <c r="J39" s="1272"/>
      <c r="K39" s="1298"/>
      <c r="L39" s="1290" t="s">
        <v>4</v>
      </c>
      <c r="M39" s="124"/>
      <c r="N39" s="1286"/>
      <c r="O39" s="1286"/>
      <c r="P39" s="1273"/>
      <c r="Q39" s="1273"/>
      <c r="R39" s="1286"/>
      <c r="S39" s="1286"/>
      <c r="T39" s="1315"/>
    </row>
    <row r="40" spans="2:20" s="11" customFormat="1" x14ac:dyDescent="0.2">
      <c r="B40" s="1376">
        <f t="shared" si="0"/>
        <v>30</v>
      </c>
      <c r="C40" s="1279" t="s">
        <v>1017</v>
      </c>
      <c r="D40" s="1272"/>
      <c r="E40" s="1272"/>
      <c r="F40" s="1272"/>
      <c r="G40" s="1272"/>
      <c r="H40" s="1272"/>
      <c r="I40" s="1272"/>
      <c r="J40" s="1272"/>
      <c r="K40" s="1298"/>
      <c r="L40" s="121" t="s">
        <v>3</v>
      </c>
      <c r="M40" s="124"/>
      <c r="N40" s="1273"/>
      <c r="O40" s="1273"/>
      <c r="P40" s="1273"/>
      <c r="Q40" s="1273"/>
      <c r="R40" s="1286"/>
      <c r="S40" s="1286"/>
      <c r="T40" s="1315"/>
    </row>
    <row r="41" spans="2:20" x14ac:dyDescent="0.2">
      <c r="B41" s="1376">
        <f t="shared" si="0"/>
        <v>31</v>
      </c>
      <c r="C41" s="95" t="s">
        <v>727</v>
      </c>
      <c r="D41" s="1291"/>
      <c r="E41" s="1291"/>
      <c r="F41" s="1291"/>
      <c r="G41" s="1291"/>
      <c r="H41" s="1291"/>
      <c r="I41" s="1291"/>
      <c r="J41" s="1291"/>
      <c r="K41" s="1301"/>
      <c r="L41" s="95" t="s">
        <v>5</v>
      </c>
      <c r="M41" s="124"/>
      <c r="N41" s="1273"/>
      <c r="O41" s="1273"/>
      <c r="P41" s="1274"/>
      <c r="Q41" s="1274"/>
      <c r="R41" s="205"/>
      <c r="S41" s="205"/>
      <c r="T41" s="1313"/>
    </row>
    <row r="42" spans="2:20" x14ac:dyDescent="0.2">
      <c r="B42" s="1376">
        <f t="shared" si="0"/>
        <v>32</v>
      </c>
      <c r="C42" s="95" t="s">
        <v>222</v>
      </c>
      <c r="D42" s="95"/>
      <c r="E42" s="95"/>
      <c r="F42" s="95"/>
      <c r="G42" s="95"/>
      <c r="H42" s="95"/>
      <c r="I42" s="95"/>
      <c r="J42" s="95"/>
      <c r="K42" s="1294"/>
      <c r="L42" s="95" t="s">
        <v>6</v>
      </c>
      <c r="M42" s="124"/>
      <c r="N42" s="1273"/>
      <c r="O42" s="1273"/>
      <c r="P42" s="1274"/>
      <c r="Q42" s="1274"/>
      <c r="R42" s="205"/>
      <c r="S42" s="205"/>
      <c r="T42" s="1313"/>
    </row>
    <row r="43" spans="2:20" x14ac:dyDescent="0.2">
      <c r="B43" s="1376">
        <f t="shared" si="0"/>
        <v>33</v>
      </c>
      <c r="C43" s="1292" t="s">
        <v>223</v>
      </c>
      <c r="D43" s="95"/>
      <c r="E43" s="95"/>
      <c r="F43" s="95">
        <f>D43+E43</f>
        <v>0</v>
      </c>
      <c r="G43" s="95">
        <v>3904</v>
      </c>
      <c r="H43" s="95"/>
      <c r="I43" s="95">
        <f>D43+G43</f>
        <v>3904</v>
      </c>
      <c r="J43" s="95">
        <f>E43+H43</f>
        <v>0</v>
      </c>
      <c r="K43" s="1294">
        <f>I43+J43</f>
        <v>3904</v>
      </c>
      <c r="L43" s="95" t="s">
        <v>7</v>
      </c>
      <c r="M43" s="124"/>
      <c r="N43" s="1273"/>
      <c r="O43" s="1273"/>
      <c r="P43" s="1274"/>
      <c r="Q43" s="1274"/>
      <c r="R43" s="205"/>
      <c r="S43" s="205"/>
      <c r="T43" s="1313"/>
    </row>
    <row r="44" spans="2:20" x14ac:dyDescent="0.2">
      <c r="B44" s="1376">
        <f t="shared" si="0"/>
        <v>34</v>
      </c>
      <c r="C44" s="1292" t="s">
        <v>1012</v>
      </c>
      <c r="D44" s="95"/>
      <c r="E44" s="95"/>
      <c r="F44" s="95">
        <f>D44+E44</f>
        <v>0</v>
      </c>
      <c r="G44" s="95"/>
      <c r="H44" s="95"/>
      <c r="I44" s="95"/>
      <c r="J44" s="95"/>
      <c r="K44" s="1294"/>
      <c r="L44" s="95"/>
      <c r="M44" s="124"/>
      <c r="N44" s="1273"/>
      <c r="O44" s="1273"/>
      <c r="P44" s="1274"/>
      <c r="Q44" s="1274"/>
      <c r="R44" s="205"/>
      <c r="S44" s="205"/>
      <c r="T44" s="1313"/>
    </row>
    <row r="45" spans="2:20" x14ac:dyDescent="0.2">
      <c r="B45" s="1376">
        <f t="shared" si="0"/>
        <v>35</v>
      </c>
      <c r="C45" s="95" t="s">
        <v>728</v>
      </c>
      <c r="D45" s="95"/>
      <c r="E45" s="95"/>
      <c r="F45" s="95"/>
      <c r="G45" s="95"/>
      <c r="H45" s="95"/>
      <c r="I45" s="95"/>
      <c r="J45" s="95"/>
      <c r="K45" s="1294"/>
      <c r="L45" s="95" t="s">
        <v>8</v>
      </c>
      <c r="M45" s="124"/>
      <c r="N45" s="1273"/>
      <c r="O45" s="1274"/>
      <c r="P45" s="1274"/>
      <c r="Q45" s="1274"/>
      <c r="R45" s="205"/>
      <c r="S45" s="205"/>
      <c r="T45" s="1313"/>
    </row>
    <row r="46" spans="2:20" x14ac:dyDescent="0.2">
      <c r="B46" s="1376">
        <f t="shared" si="0"/>
        <v>36</v>
      </c>
      <c r="C46" s="95" t="s">
        <v>729</v>
      </c>
      <c r="D46" s="1272"/>
      <c r="E46" s="1272"/>
      <c r="F46" s="1272"/>
      <c r="G46" s="1272"/>
      <c r="H46" s="1272"/>
      <c r="I46" s="1272"/>
      <c r="J46" s="1272"/>
      <c r="K46" s="1298"/>
      <c r="L46" s="95" t="s">
        <v>9</v>
      </c>
      <c r="M46" s="124"/>
      <c r="N46" s="1273"/>
      <c r="O46" s="1274"/>
      <c r="P46" s="1274"/>
      <c r="Q46" s="1274"/>
      <c r="R46" s="205"/>
      <c r="S46" s="205"/>
      <c r="T46" s="1313"/>
    </row>
    <row r="47" spans="2:20" x14ac:dyDescent="0.2">
      <c r="B47" s="1376">
        <f t="shared" si="0"/>
        <v>37</v>
      </c>
      <c r="C47" s="95" t="s">
        <v>226</v>
      </c>
      <c r="D47" s="95"/>
      <c r="E47" s="95"/>
      <c r="F47" s="95"/>
      <c r="G47" s="95"/>
      <c r="H47" s="95"/>
      <c r="I47" s="95"/>
      <c r="J47" s="95"/>
      <c r="K47" s="1294"/>
      <c r="L47" s="95" t="s">
        <v>10</v>
      </c>
      <c r="M47" s="122"/>
      <c r="N47" s="1274"/>
      <c r="O47" s="1274"/>
      <c r="P47" s="1274"/>
      <c r="Q47" s="1274"/>
      <c r="R47" s="205"/>
      <c r="S47" s="205"/>
      <c r="T47" s="1313"/>
    </row>
    <row r="48" spans="2:20" x14ac:dyDescent="0.2">
      <c r="B48" s="1376">
        <f t="shared" si="0"/>
        <v>38</v>
      </c>
      <c r="C48" s="1292" t="s">
        <v>227</v>
      </c>
      <c r="D48" s="95">
        <f>M24-(D34+D43+D44)</f>
        <v>61665</v>
      </c>
      <c r="E48" s="95">
        <f>N24-(E34+E43+E44)</f>
        <v>118856</v>
      </c>
      <c r="F48" s="95">
        <f>O24-(F34+F43+F44)</f>
        <v>180521</v>
      </c>
      <c r="G48" s="95">
        <f t="shared" ref="G48:K48" si="8">P24-(G34+G43+G44)</f>
        <v>2850</v>
      </c>
      <c r="H48" s="95">
        <f t="shared" si="8"/>
        <v>-1323</v>
      </c>
      <c r="I48" s="95">
        <f t="shared" si="8"/>
        <v>64515</v>
      </c>
      <c r="J48" s="95">
        <f t="shared" si="8"/>
        <v>117533</v>
      </c>
      <c r="K48" s="1294">
        <f t="shared" si="8"/>
        <v>182048</v>
      </c>
      <c r="L48" s="95" t="s">
        <v>11</v>
      </c>
      <c r="M48" s="122"/>
      <c r="N48" s="1274"/>
      <c r="O48" s="1274"/>
      <c r="P48" s="1274"/>
      <c r="Q48" s="1274"/>
      <c r="R48" s="205"/>
      <c r="S48" s="205"/>
      <c r="T48" s="1313"/>
    </row>
    <row r="49" spans="2:20" x14ac:dyDescent="0.2">
      <c r="B49" s="1376">
        <f t="shared" si="0"/>
        <v>39</v>
      </c>
      <c r="C49" s="1292" t="s">
        <v>228</v>
      </c>
      <c r="D49" s="95">
        <f>M33-D33</f>
        <v>0</v>
      </c>
      <c r="E49" s="95">
        <f>N33-E33</f>
        <v>7370</v>
      </c>
      <c r="F49" s="95">
        <f>O33-F33</f>
        <v>7370</v>
      </c>
      <c r="G49" s="95">
        <f t="shared" ref="G49:K49" si="9">P33-G33</f>
        <v>0</v>
      </c>
      <c r="H49" s="95">
        <f t="shared" si="9"/>
        <v>3500</v>
      </c>
      <c r="I49" s="95">
        <f t="shared" si="9"/>
        <v>0</v>
      </c>
      <c r="J49" s="95">
        <f t="shared" si="9"/>
        <v>10870</v>
      </c>
      <c r="K49" s="1294">
        <f t="shared" si="9"/>
        <v>10870</v>
      </c>
      <c r="L49" s="95" t="s">
        <v>12</v>
      </c>
      <c r="M49" s="122"/>
      <c r="N49" s="1274"/>
      <c r="O49" s="1274"/>
      <c r="P49" s="1274"/>
      <c r="Q49" s="1274"/>
      <c r="R49" s="205"/>
      <c r="S49" s="205"/>
      <c r="T49" s="1313"/>
    </row>
    <row r="50" spans="2:20" x14ac:dyDescent="0.2">
      <c r="B50" s="1376">
        <f t="shared" si="0"/>
        <v>40</v>
      </c>
      <c r="C50" s="95" t="s">
        <v>1</v>
      </c>
      <c r="D50" s="95"/>
      <c r="E50" s="95"/>
      <c r="F50" s="95"/>
      <c r="G50" s="95"/>
      <c r="H50" s="95"/>
      <c r="I50" s="95"/>
      <c r="J50" s="95"/>
      <c r="K50" s="1294"/>
      <c r="L50" s="95" t="s">
        <v>13</v>
      </c>
      <c r="M50" s="122"/>
      <c r="N50" s="1274"/>
      <c r="O50" s="1274"/>
      <c r="P50" s="1274"/>
      <c r="Q50" s="1274"/>
      <c r="R50" s="205"/>
      <c r="S50" s="205"/>
      <c r="T50" s="1313"/>
    </row>
    <row r="51" spans="2:20" x14ac:dyDescent="0.2">
      <c r="B51" s="1376">
        <f t="shared" si="0"/>
        <v>41</v>
      </c>
      <c r="C51" s="95"/>
      <c r="D51" s="95"/>
      <c r="E51" s="95"/>
      <c r="F51" s="95"/>
      <c r="G51" s="95"/>
      <c r="H51" s="95"/>
      <c r="I51" s="95"/>
      <c r="J51" s="95"/>
      <c r="K51" s="1294"/>
      <c r="L51" s="95" t="s">
        <v>14</v>
      </c>
      <c r="M51" s="122"/>
      <c r="N51" s="1274"/>
      <c r="O51" s="1274"/>
      <c r="P51" s="1274"/>
      <c r="Q51" s="1274"/>
      <c r="R51" s="205"/>
      <c r="S51" s="205"/>
      <c r="T51" s="1313"/>
    </row>
    <row r="52" spans="2:20" x14ac:dyDescent="0.2">
      <c r="B52" s="1376">
        <f t="shared" si="0"/>
        <v>42</v>
      </c>
      <c r="C52" s="95"/>
      <c r="D52" s="95"/>
      <c r="E52" s="95"/>
      <c r="F52" s="95"/>
      <c r="G52" s="95"/>
      <c r="H52" s="95"/>
      <c r="I52" s="95"/>
      <c r="J52" s="95"/>
      <c r="K52" s="1294"/>
      <c r="L52" s="95" t="s">
        <v>15</v>
      </c>
      <c r="M52" s="122"/>
      <c r="N52" s="1274"/>
      <c r="O52" s="1274"/>
      <c r="P52" s="1274"/>
      <c r="Q52" s="1274"/>
      <c r="R52" s="205"/>
      <c r="S52" s="205"/>
      <c r="T52" s="1313"/>
    </row>
    <row r="53" spans="2:20" ht="12" thickBot="1" x14ac:dyDescent="0.25">
      <c r="B53" s="1344">
        <f t="shared" si="0"/>
        <v>43</v>
      </c>
      <c r="C53" s="126" t="s">
        <v>473</v>
      </c>
      <c r="D53" s="1272">
        <f>SUM(D39:D51)</f>
        <v>61665</v>
      </c>
      <c r="E53" s="1272">
        <f>SUM(E39:E51)</f>
        <v>126226</v>
      </c>
      <c r="F53" s="1272">
        <f>SUM(F39:F51)</f>
        <v>187891</v>
      </c>
      <c r="G53" s="1272">
        <f>SUM(G43:G52)</f>
        <v>6754</v>
      </c>
      <c r="H53" s="1272">
        <f t="shared" ref="H53:K53" si="10">SUM(H43:H52)</f>
        <v>2177</v>
      </c>
      <c r="I53" s="1272">
        <f t="shared" si="10"/>
        <v>68419</v>
      </c>
      <c r="J53" s="1272">
        <f t="shared" si="10"/>
        <v>128403</v>
      </c>
      <c r="K53" s="1272">
        <f t="shared" si="10"/>
        <v>196822</v>
      </c>
      <c r="L53" s="1328" t="s">
        <v>466</v>
      </c>
      <c r="M53" s="124">
        <f>SUM(M39:M52)</f>
        <v>0</v>
      </c>
      <c r="N53" s="1273">
        <f>SUM(N39:N52)</f>
        <v>0</v>
      </c>
      <c r="O53" s="1273">
        <f>SUM(O39:O52)</f>
        <v>0</v>
      </c>
      <c r="P53" s="1274"/>
      <c r="Q53" s="1274"/>
      <c r="R53" s="205"/>
      <c r="S53" s="205"/>
      <c r="T53" s="1313"/>
    </row>
    <row r="54" spans="2:20" ht="12" thickBot="1" x14ac:dyDescent="0.25">
      <c r="B54" s="737">
        <f t="shared" si="0"/>
        <v>44</v>
      </c>
      <c r="C54" s="738" t="s">
        <v>468</v>
      </c>
      <c r="D54" s="697">
        <f>D34+D53</f>
        <v>110955</v>
      </c>
      <c r="E54" s="697">
        <f>E34+E53</f>
        <v>161337</v>
      </c>
      <c r="F54" s="697">
        <f>F34+F53</f>
        <v>272292</v>
      </c>
      <c r="G54" s="697">
        <f>G53+G34</f>
        <v>6754</v>
      </c>
      <c r="H54" s="697">
        <f t="shared" ref="H54:K54" si="11">H53+H34</f>
        <v>3921</v>
      </c>
      <c r="I54" s="697">
        <f t="shared" si="11"/>
        <v>117709</v>
      </c>
      <c r="J54" s="697">
        <f t="shared" si="11"/>
        <v>165258</v>
      </c>
      <c r="K54" s="697">
        <f t="shared" si="11"/>
        <v>282967</v>
      </c>
      <c r="L54" s="1327" t="s">
        <v>467</v>
      </c>
      <c r="M54" s="697">
        <f>M34+M53</f>
        <v>110955</v>
      </c>
      <c r="N54" s="739">
        <f>N34+N53</f>
        <v>161337</v>
      </c>
      <c r="O54" s="739">
        <f>O34+O53</f>
        <v>272292</v>
      </c>
      <c r="P54" s="739">
        <f>P34</f>
        <v>6754</v>
      </c>
      <c r="Q54" s="739">
        <f>Q34</f>
        <v>3921</v>
      </c>
      <c r="R54" s="739">
        <f t="shared" ref="R54:T54" si="12">R34</f>
        <v>117709</v>
      </c>
      <c r="S54" s="739">
        <f t="shared" si="12"/>
        <v>165258</v>
      </c>
      <c r="T54" s="1318">
        <f t="shared" si="12"/>
        <v>282967</v>
      </c>
    </row>
    <row r="55" spans="2:20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31"/>
      <c r="O55" s="131"/>
    </row>
  </sheetData>
  <mergeCells count="16">
    <mergeCell ref="C4:T4"/>
    <mergeCell ref="C5:T5"/>
    <mergeCell ref="D1:T1"/>
    <mergeCell ref="B8:B10"/>
    <mergeCell ref="C8:C9"/>
    <mergeCell ref="L8:L9"/>
    <mergeCell ref="D9:F9"/>
    <mergeCell ref="M9:O9"/>
    <mergeCell ref="G9:H9"/>
    <mergeCell ref="I9:K9"/>
    <mergeCell ref="D8:K8"/>
    <mergeCell ref="P9:Q9"/>
    <mergeCell ref="R9:T9"/>
    <mergeCell ref="M8:T8"/>
    <mergeCell ref="C7:T7"/>
    <mergeCell ref="C6:T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56"/>
  <sheetViews>
    <sheetView topLeftCell="E1" zoomScale="120" workbookViewId="0">
      <selection activeCell="C1" sqref="C1:T1"/>
    </sheetView>
  </sheetViews>
  <sheetFormatPr defaultColWidth="9.140625" defaultRowHeight="11.25" x14ac:dyDescent="0.2"/>
  <cols>
    <col min="1" max="1" width="0.7109375" style="10" customWidth="1"/>
    <col min="2" max="2" width="4.85546875" style="116" customWidth="1"/>
    <col min="3" max="3" width="36.7109375" style="116" customWidth="1"/>
    <col min="4" max="4" width="7.5703125" style="117" customWidth="1"/>
    <col min="5" max="11" width="9.5703125" style="117" customWidth="1"/>
    <col min="12" max="12" width="38" style="117" customWidth="1"/>
    <col min="13" max="13" width="7.42578125" style="117" customWidth="1"/>
    <col min="14" max="15" width="9.5703125" style="204" customWidth="1"/>
    <col min="16" max="16" width="9.5703125" style="116" customWidth="1"/>
    <col min="17" max="20" width="9.5703125" style="10" customWidth="1"/>
    <col min="21" max="16384" width="9.140625" style="10"/>
  </cols>
  <sheetData>
    <row r="1" spans="2:20" ht="12.75" customHeight="1" x14ac:dyDescent="0.2">
      <c r="C1" s="1649" t="s">
        <v>1292</v>
      </c>
      <c r="D1" s="1649"/>
      <c r="E1" s="1649"/>
      <c r="F1" s="1649"/>
      <c r="G1" s="1649"/>
      <c r="H1" s="1649"/>
      <c r="I1" s="1649"/>
      <c r="J1" s="1649"/>
      <c r="K1" s="1649"/>
      <c r="L1" s="1649"/>
      <c r="M1" s="1649"/>
      <c r="N1" s="1649"/>
      <c r="O1" s="1649"/>
      <c r="P1" s="1649"/>
      <c r="Q1" s="1649"/>
      <c r="R1" s="1649"/>
      <c r="S1" s="1649"/>
      <c r="T1" s="1649"/>
    </row>
    <row r="2" spans="2:20" x14ac:dyDescent="0.2">
      <c r="O2" s="253"/>
    </row>
    <row r="3" spans="2:20" x14ac:dyDescent="0.2">
      <c r="O3" s="253"/>
    </row>
    <row r="4" spans="2:20" s="98" customFormat="1" ht="12.75" customHeight="1" x14ac:dyDescent="0.2">
      <c r="B4" s="1387" t="s">
        <v>78</v>
      </c>
      <c r="C4" s="1387"/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387"/>
      <c r="P4" s="1387"/>
      <c r="Q4" s="1387"/>
      <c r="R4" s="1387"/>
      <c r="S4" s="1387"/>
      <c r="T4" s="1387"/>
    </row>
    <row r="5" spans="2:20" s="98" customFormat="1" ht="12.75" customHeight="1" x14ac:dyDescent="0.2">
      <c r="B5" s="1530" t="s">
        <v>757</v>
      </c>
      <c r="C5" s="1530"/>
      <c r="D5" s="1530"/>
      <c r="E5" s="1530"/>
      <c r="F5" s="1530"/>
      <c r="G5" s="1530"/>
      <c r="H5" s="1530"/>
      <c r="I5" s="1530"/>
      <c r="J5" s="1530"/>
      <c r="K5" s="1530"/>
      <c r="L5" s="1530"/>
      <c r="M5" s="1530"/>
      <c r="N5" s="1530"/>
      <c r="O5" s="1530"/>
      <c r="P5" s="1530"/>
      <c r="Q5" s="1530"/>
      <c r="R5" s="1530"/>
      <c r="S5" s="1530"/>
      <c r="T5" s="1530"/>
    </row>
    <row r="6" spans="2:20" s="98" customFormat="1" ht="12.75" customHeight="1" x14ac:dyDescent="0.2">
      <c r="B6" s="1387" t="s">
        <v>1123</v>
      </c>
      <c r="C6" s="1387"/>
      <c r="D6" s="1387"/>
      <c r="E6" s="1387"/>
      <c r="F6" s="1387"/>
      <c r="G6" s="1387"/>
      <c r="H6" s="1387"/>
      <c r="I6" s="1387"/>
      <c r="J6" s="1387"/>
      <c r="K6" s="1387"/>
      <c r="L6" s="1387"/>
      <c r="M6" s="1387"/>
      <c r="N6" s="1387"/>
      <c r="O6" s="1387"/>
      <c r="P6" s="1387"/>
      <c r="Q6" s="1387"/>
      <c r="R6" s="1387"/>
      <c r="S6" s="1387"/>
      <c r="T6" s="1387"/>
    </row>
    <row r="7" spans="2:20" s="98" customFormat="1" ht="12" thickBot="1" x14ac:dyDescent="0.25">
      <c r="B7" s="119"/>
      <c r="C7" s="1389" t="s">
        <v>324</v>
      </c>
      <c r="D7" s="1389"/>
      <c r="E7" s="1389"/>
      <c r="F7" s="1389"/>
      <c r="G7" s="1389"/>
      <c r="H7" s="1389"/>
      <c r="I7" s="1389"/>
      <c r="J7" s="1389"/>
      <c r="K7" s="1389"/>
      <c r="L7" s="1389"/>
      <c r="M7" s="1389"/>
      <c r="N7" s="1389"/>
      <c r="O7" s="1389"/>
      <c r="P7" s="1389"/>
      <c r="Q7" s="1389"/>
      <c r="R7" s="1389"/>
      <c r="S7" s="1389"/>
      <c r="T7" s="1389"/>
    </row>
    <row r="8" spans="2:20" s="98" customFormat="1" ht="12.75" customHeight="1" x14ac:dyDescent="0.2">
      <c r="B8" s="1522" t="s">
        <v>56</v>
      </c>
      <c r="C8" s="1401" t="s">
        <v>57</v>
      </c>
      <c r="D8" s="1650" t="s">
        <v>58</v>
      </c>
      <c r="E8" s="1650"/>
      <c r="F8" s="1651"/>
      <c r="G8" s="1302"/>
      <c r="H8" s="1302"/>
      <c r="I8" s="1302"/>
      <c r="J8" s="1302"/>
      <c r="K8" s="1303"/>
      <c r="L8" s="1525" t="s">
        <v>59</v>
      </c>
      <c r="M8" s="1528" t="s">
        <v>60</v>
      </c>
      <c r="N8" s="1528"/>
      <c r="O8" s="1528"/>
      <c r="P8" s="1528"/>
      <c r="Q8" s="1528"/>
      <c r="R8" s="1528"/>
      <c r="S8" s="1528"/>
      <c r="T8" s="1529"/>
    </row>
    <row r="9" spans="2:20" s="98" customFormat="1" ht="12.75" customHeight="1" x14ac:dyDescent="0.2">
      <c r="B9" s="1523"/>
      <c r="C9" s="1402"/>
      <c r="D9" s="1396" t="s">
        <v>1289</v>
      </c>
      <c r="E9" s="1396"/>
      <c r="F9" s="1397"/>
      <c r="G9" s="1390" t="s">
        <v>1299</v>
      </c>
      <c r="H9" s="1391"/>
      <c r="I9" s="1390" t="s">
        <v>1270</v>
      </c>
      <c r="J9" s="1390"/>
      <c r="K9" s="1392"/>
      <c r="L9" s="1526"/>
      <c r="M9" s="1425" t="s">
        <v>1290</v>
      </c>
      <c r="N9" s="1425"/>
      <c r="O9" s="1425"/>
      <c r="P9" s="1420" t="s">
        <v>1299</v>
      </c>
      <c r="Q9" s="1421"/>
      <c r="R9" s="1420" t="s">
        <v>1270</v>
      </c>
      <c r="S9" s="1420"/>
      <c r="T9" s="1527"/>
    </row>
    <row r="10" spans="2:20" s="99" customFormat="1" ht="36.6" customHeight="1" thickBot="1" x14ac:dyDescent="0.25">
      <c r="B10" s="1632"/>
      <c r="C10" s="1304" t="s">
        <v>61</v>
      </c>
      <c r="D10" s="1305" t="s">
        <v>62</v>
      </c>
      <c r="E10" s="1305" t="s">
        <v>63</v>
      </c>
      <c r="F10" s="1306" t="s">
        <v>64</v>
      </c>
      <c r="G10" s="1305" t="s">
        <v>62</v>
      </c>
      <c r="H10" s="1306" t="s">
        <v>63</v>
      </c>
      <c r="I10" s="1305" t="s">
        <v>62</v>
      </c>
      <c r="J10" s="1306" t="s">
        <v>63</v>
      </c>
      <c r="K10" s="1307" t="s">
        <v>64</v>
      </c>
      <c r="L10" s="1308" t="s">
        <v>65</v>
      </c>
      <c r="M10" s="1305" t="s">
        <v>62</v>
      </c>
      <c r="N10" s="1309" t="s">
        <v>63</v>
      </c>
      <c r="O10" s="1310" t="s">
        <v>64</v>
      </c>
      <c r="P10" s="1311" t="s">
        <v>62</v>
      </c>
      <c r="Q10" s="1311" t="s">
        <v>63</v>
      </c>
      <c r="R10" s="1311" t="s">
        <v>62</v>
      </c>
      <c r="S10" s="1311" t="s">
        <v>63</v>
      </c>
      <c r="T10" s="1307" t="s">
        <v>64</v>
      </c>
    </row>
    <row r="11" spans="2:20" ht="11.45" customHeight="1" x14ac:dyDescent="0.2">
      <c r="B11" s="1375">
        <v>1</v>
      </c>
      <c r="C11" s="1271" t="s">
        <v>24</v>
      </c>
      <c r="D11" s="124"/>
      <c r="E11" s="124"/>
      <c r="F11" s="124"/>
      <c r="G11" s="124"/>
      <c r="H11" s="124"/>
      <c r="I11" s="124"/>
      <c r="J11" s="124"/>
      <c r="K11" s="1293"/>
      <c r="L11" s="1272" t="s">
        <v>25</v>
      </c>
      <c r="M11" s="124"/>
      <c r="N11" s="1273"/>
      <c r="O11" s="1274"/>
      <c r="P11" s="205"/>
      <c r="Q11" s="205"/>
      <c r="R11" s="205"/>
      <c r="S11" s="205"/>
      <c r="T11" s="1312"/>
    </row>
    <row r="12" spans="2:20" x14ac:dyDescent="0.2">
      <c r="B12" s="1376">
        <f t="shared" ref="B12:B54" si="0">B11+1</f>
        <v>2</v>
      </c>
      <c r="C12" s="121" t="s">
        <v>35</v>
      </c>
      <c r="D12" s="95"/>
      <c r="E12" s="95"/>
      <c r="F12" s="95"/>
      <c r="G12" s="95"/>
      <c r="H12" s="95"/>
      <c r="I12" s="95"/>
      <c r="J12" s="95"/>
      <c r="K12" s="1294"/>
      <c r="L12" s="95" t="s">
        <v>230</v>
      </c>
      <c r="M12" s="199">
        <v>76982</v>
      </c>
      <c r="N12" s="199">
        <v>151263</v>
      </c>
      <c r="O12" s="1275">
        <f>SUM(M12:N12)</f>
        <v>228245</v>
      </c>
      <c r="P12" s="1274"/>
      <c r="Q12" s="1274">
        <v>6832</v>
      </c>
      <c r="R12" s="1274">
        <f>M12+P12</f>
        <v>76982</v>
      </c>
      <c r="S12" s="1274">
        <f>N12+Q12</f>
        <v>158095</v>
      </c>
      <c r="T12" s="1316">
        <f>R12+S12</f>
        <v>235077</v>
      </c>
    </row>
    <row r="13" spans="2:20" x14ac:dyDescent="0.2">
      <c r="B13" s="1376">
        <f t="shared" si="0"/>
        <v>3</v>
      </c>
      <c r="C13" s="121" t="s">
        <v>36</v>
      </c>
      <c r="D13" s="95"/>
      <c r="E13" s="95"/>
      <c r="F13" s="95"/>
      <c r="G13" s="95"/>
      <c r="H13" s="95"/>
      <c r="I13" s="95"/>
      <c r="J13" s="95"/>
      <c r="K13" s="1294"/>
      <c r="L13" s="95" t="s">
        <v>231</v>
      </c>
      <c r="M13" s="199">
        <v>13455</v>
      </c>
      <c r="N13" s="199">
        <v>33123</v>
      </c>
      <c r="O13" s="1275">
        <f>SUM(M13:N13)</f>
        <v>46578</v>
      </c>
      <c r="P13" s="1274"/>
      <c r="Q13" s="1274">
        <v>1243</v>
      </c>
      <c r="R13" s="1274">
        <f t="shared" ref="R13:R14" si="1">M13+P13</f>
        <v>13455</v>
      </c>
      <c r="S13" s="1274">
        <f t="shared" ref="S13:S14" si="2">N13+Q13</f>
        <v>34366</v>
      </c>
      <c r="T13" s="1316">
        <f t="shared" ref="T13:T14" si="3">R13+S13</f>
        <v>47821</v>
      </c>
    </row>
    <row r="14" spans="2:20" x14ac:dyDescent="0.2">
      <c r="B14" s="1376">
        <f t="shared" si="0"/>
        <v>4</v>
      </c>
      <c r="C14" s="121" t="s">
        <v>207</v>
      </c>
      <c r="D14" s="199">
        <f>'tám, végl. pe.átv  '!C67</f>
        <v>19891</v>
      </c>
      <c r="E14" s="199">
        <f>'tám, végl. pe.átv  '!D67</f>
        <v>1386</v>
      </c>
      <c r="F14" s="199">
        <f>SUM(D14:E14)</f>
        <v>21277</v>
      </c>
      <c r="G14" s="199"/>
      <c r="H14" s="199">
        <v>994</v>
      </c>
      <c r="I14" s="199">
        <f>D14+G14</f>
        <v>19891</v>
      </c>
      <c r="J14" s="199">
        <f>E14+H14</f>
        <v>2380</v>
      </c>
      <c r="K14" s="1295">
        <f>I14+J14</f>
        <v>22271</v>
      </c>
      <c r="L14" s="95" t="s">
        <v>232</v>
      </c>
      <c r="M14" s="199">
        <v>36629</v>
      </c>
      <c r="N14" s="199">
        <f>84958+3000</f>
        <v>87958</v>
      </c>
      <c r="O14" s="1275">
        <f>SUM(M14:N14)</f>
        <v>124587</v>
      </c>
      <c r="P14" s="1274">
        <v>10832</v>
      </c>
      <c r="Q14" s="1274">
        <v>1800</v>
      </c>
      <c r="R14" s="1274">
        <f t="shared" si="1"/>
        <v>47461</v>
      </c>
      <c r="S14" s="1274">
        <f t="shared" si="2"/>
        <v>89758</v>
      </c>
      <c r="T14" s="1316">
        <f t="shared" si="3"/>
        <v>137219</v>
      </c>
    </row>
    <row r="15" spans="2:20" ht="12" customHeight="1" x14ac:dyDescent="0.2">
      <c r="B15" s="1376">
        <f t="shared" si="0"/>
        <v>5</v>
      </c>
      <c r="C15" s="1276"/>
      <c r="D15" s="95"/>
      <c r="E15" s="95"/>
      <c r="F15" s="95"/>
      <c r="G15" s="95"/>
      <c r="H15" s="95"/>
      <c r="I15" s="199"/>
      <c r="J15" s="199"/>
      <c r="K15" s="1295"/>
      <c r="L15" s="95"/>
      <c r="M15" s="1277"/>
      <c r="N15" s="1277"/>
      <c r="O15" s="199"/>
      <c r="P15" s="1274"/>
      <c r="Q15" s="1274"/>
      <c r="R15" s="1274"/>
      <c r="S15" s="1274"/>
      <c r="T15" s="1316"/>
    </row>
    <row r="16" spans="2:20" x14ac:dyDescent="0.2">
      <c r="B16" s="1376">
        <f t="shared" si="0"/>
        <v>6</v>
      </c>
      <c r="C16" s="121" t="s">
        <v>38</v>
      </c>
      <c r="D16" s="95"/>
      <c r="E16" s="95"/>
      <c r="F16" s="95"/>
      <c r="G16" s="95"/>
      <c r="H16" s="95"/>
      <c r="I16" s="199">
        <f t="shared" ref="I16:J54" si="4">D16+G16</f>
        <v>0</v>
      </c>
      <c r="J16" s="199">
        <f t="shared" ref="J16:J54" si="5">E16+H16</f>
        <v>0</v>
      </c>
      <c r="K16" s="1295">
        <f t="shared" ref="K16:K54" si="6">I16+J16</f>
        <v>0</v>
      </c>
      <c r="L16" s="95" t="s">
        <v>28</v>
      </c>
      <c r="M16" s="122"/>
      <c r="N16" s="1274"/>
      <c r="O16" s="1274"/>
      <c r="P16" s="1274"/>
      <c r="Q16" s="1274"/>
      <c r="R16" s="1274"/>
      <c r="S16" s="1274"/>
      <c r="T16" s="1316"/>
    </row>
    <row r="17" spans="2:20" x14ac:dyDescent="0.2">
      <c r="B17" s="1376">
        <f t="shared" si="0"/>
        <v>7</v>
      </c>
      <c r="C17" s="121"/>
      <c r="D17" s="95"/>
      <c r="E17" s="95"/>
      <c r="F17" s="95"/>
      <c r="G17" s="95"/>
      <c r="H17" s="95"/>
      <c r="I17" s="199"/>
      <c r="J17" s="199"/>
      <c r="K17" s="1295"/>
      <c r="L17" s="95" t="s">
        <v>30</v>
      </c>
      <c r="M17" s="122"/>
      <c r="N17" s="1274"/>
      <c r="O17" s="1274"/>
      <c r="P17" s="1274"/>
      <c r="Q17" s="1274"/>
      <c r="R17" s="1274"/>
      <c r="S17" s="1274"/>
      <c r="T17" s="1316"/>
    </row>
    <row r="18" spans="2:20" x14ac:dyDescent="0.2">
      <c r="B18" s="1376">
        <f t="shared" si="0"/>
        <v>8</v>
      </c>
      <c r="C18" s="121" t="s">
        <v>39</v>
      </c>
      <c r="D18" s="95"/>
      <c r="E18" s="95"/>
      <c r="F18" s="95"/>
      <c r="G18" s="95"/>
      <c r="H18" s="95"/>
      <c r="I18" s="199">
        <f t="shared" si="4"/>
        <v>0</v>
      </c>
      <c r="J18" s="199">
        <f t="shared" si="5"/>
        <v>0</v>
      </c>
      <c r="K18" s="1295">
        <f t="shared" si="6"/>
        <v>0</v>
      </c>
      <c r="L18" s="95" t="s">
        <v>471</v>
      </c>
      <c r="M18" s="122"/>
      <c r="N18" s="1274"/>
      <c r="O18" s="1274"/>
      <c r="P18" s="1274"/>
      <c r="Q18" s="1274"/>
      <c r="R18" s="1274"/>
      <c r="S18" s="1274"/>
      <c r="T18" s="1316"/>
    </row>
    <row r="19" spans="2:20" x14ac:dyDescent="0.2">
      <c r="B19" s="1376">
        <f t="shared" si="0"/>
        <v>9</v>
      </c>
      <c r="C19" s="123" t="s">
        <v>40</v>
      </c>
      <c r="D19" s="1278"/>
      <c r="E19" s="1278"/>
      <c r="F19" s="1278"/>
      <c r="G19" s="1278"/>
      <c r="H19" s="1278"/>
      <c r="I19" s="199"/>
      <c r="J19" s="199"/>
      <c r="K19" s="1295"/>
      <c r="L19" s="95" t="s">
        <v>470</v>
      </c>
      <c r="M19" s="122"/>
      <c r="N19" s="1274"/>
      <c r="O19" s="1274"/>
      <c r="P19" s="1274"/>
      <c r="Q19" s="1274"/>
      <c r="R19" s="1274"/>
      <c r="S19" s="1274"/>
      <c r="T19" s="1316"/>
    </row>
    <row r="20" spans="2:20" x14ac:dyDescent="0.2">
      <c r="B20" s="1376">
        <f t="shared" si="0"/>
        <v>10</v>
      </c>
      <c r="C20" s="121" t="s">
        <v>209</v>
      </c>
      <c r="D20" s="1275">
        <v>18446</v>
      </c>
      <c r="E20" s="1275">
        <v>65449</v>
      </c>
      <c r="F20" s="1278">
        <f>SUM(D20:E20)</f>
        <v>83895</v>
      </c>
      <c r="G20" s="1278"/>
      <c r="H20" s="1278">
        <v>383</v>
      </c>
      <c r="I20" s="199">
        <f t="shared" si="4"/>
        <v>18446</v>
      </c>
      <c r="J20" s="199">
        <f t="shared" si="5"/>
        <v>65832</v>
      </c>
      <c r="K20" s="1295">
        <f t="shared" si="6"/>
        <v>84278</v>
      </c>
      <c r="L20" s="95" t="s">
        <v>974</v>
      </c>
      <c r="M20" s="122"/>
      <c r="N20" s="1274"/>
      <c r="O20" s="1274"/>
      <c r="P20" s="1274"/>
      <c r="Q20" s="1274"/>
      <c r="R20" s="1274"/>
      <c r="S20" s="1274"/>
      <c r="T20" s="1316"/>
    </row>
    <row r="21" spans="2:20" x14ac:dyDescent="0.2">
      <c r="B21" s="1376">
        <f t="shared" si="0"/>
        <v>11</v>
      </c>
      <c r="C21" s="1279"/>
      <c r="D21" s="1278"/>
      <c r="E21" s="1278"/>
      <c r="F21" s="1278"/>
      <c r="G21" s="1278"/>
      <c r="H21" s="1278"/>
      <c r="I21" s="199"/>
      <c r="J21" s="199"/>
      <c r="K21" s="1295"/>
      <c r="L21" s="95" t="s">
        <v>463</v>
      </c>
      <c r="M21" s="122"/>
      <c r="N21" s="1274"/>
      <c r="O21" s="1274"/>
      <c r="P21" s="1274"/>
      <c r="Q21" s="1274"/>
      <c r="R21" s="1274"/>
      <c r="S21" s="1274"/>
      <c r="T21" s="1316"/>
    </row>
    <row r="22" spans="2:20" s="100" customFormat="1" x14ac:dyDescent="0.2">
      <c r="B22" s="1376">
        <f t="shared" si="0"/>
        <v>12</v>
      </c>
      <c r="C22" s="1279" t="s">
        <v>42</v>
      </c>
      <c r="D22" s="1278"/>
      <c r="E22" s="1278"/>
      <c r="F22" s="1278"/>
      <c r="G22" s="1278"/>
      <c r="H22" s="1278"/>
      <c r="I22" s="199"/>
      <c r="J22" s="199"/>
      <c r="K22" s="1295"/>
      <c r="L22" s="95" t="s">
        <v>464</v>
      </c>
      <c r="M22" s="122"/>
      <c r="N22" s="1274"/>
      <c r="O22" s="1274"/>
      <c r="P22" s="1289"/>
      <c r="Q22" s="1289"/>
      <c r="R22" s="1274"/>
      <c r="S22" s="1274"/>
      <c r="T22" s="1316"/>
    </row>
    <row r="23" spans="2:20" s="100" customFormat="1" x14ac:dyDescent="0.2">
      <c r="B23" s="1376">
        <f t="shared" si="0"/>
        <v>13</v>
      </c>
      <c r="C23" s="121" t="s">
        <v>43</v>
      </c>
      <c r="D23" s="1278"/>
      <c r="E23" s="1278"/>
      <c r="F23" s="1278"/>
      <c r="G23" s="1278"/>
      <c r="H23" s="1278"/>
      <c r="I23" s="199">
        <f t="shared" si="4"/>
        <v>0</v>
      </c>
      <c r="J23" s="199">
        <f t="shared" si="5"/>
        <v>0</v>
      </c>
      <c r="K23" s="1295">
        <f t="shared" si="6"/>
        <v>0</v>
      </c>
      <c r="L23" s="122"/>
      <c r="M23" s="122"/>
      <c r="N23" s="1274"/>
      <c r="O23" s="1274"/>
      <c r="P23" s="1289"/>
      <c r="Q23" s="1289"/>
      <c r="R23" s="1274"/>
      <c r="S23" s="1274"/>
      <c r="T23" s="1314"/>
    </row>
    <row r="24" spans="2:20" x14ac:dyDescent="0.2">
      <c r="B24" s="1376">
        <f t="shared" si="0"/>
        <v>14</v>
      </c>
      <c r="C24" s="121" t="s">
        <v>44</v>
      </c>
      <c r="D24" s="1281"/>
      <c r="E24" s="1281"/>
      <c r="F24" s="1281"/>
      <c r="G24" s="1281"/>
      <c r="H24" s="1281"/>
      <c r="I24" s="199">
        <f t="shared" si="4"/>
        <v>0</v>
      </c>
      <c r="J24" s="199">
        <f t="shared" si="5"/>
        <v>0</v>
      </c>
      <c r="K24" s="1295">
        <f t="shared" si="6"/>
        <v>0</v>
      </c>
      <c r="L24" s="1282" t="s">
        <v>66</v>
      </c>
      <c r="M24" s="1282">
        <f>SUM(M12:M22)</f>
        <v>127066</v>
      </c>
      <c r="N24" s="1283">
        <f>SUM(N12:N22)</f>
        <v>272344</v>
      </c>
      <c r="O24" s="1283">
        <f>SUM(O12:O22)</f>
        <v>399410</v>
      </c>
      <c r="P24" s="1274">
        <f>SUM(P12:P23)</f>
        <v>10832</v>
      </c>
      <c r="Q24" s="1274">
        <f>SUM(Q12:Q23)</f>
        <v>9875</v>
      </c>
      <c r="R24" s="1274">
        <f t="shared" ref="R24:S24" si="7">SUM(R12:R23)</f>
        <v>137898</v>
      </c>
      <c r="S24" s="1274">
        <f t="shared" si="7"/>
        <v>282219</v>
      </c>
      <c r="T24" s="1316">
        <f>SUM(T12:T23)</f>
        <v>420117</v>
      </c>
    </row>
    <row r="25" spans="2:20" x14ac:dyDescent="0.2">
      <c r="B25" s="1376">
        <f t="shared" si="0"/>
        <v>15</v>
      </c>
      <c r="C25" s="121" t="s">
        <v>45</v>
      </c>
      <c r="D25" s="1278">
        <v>0</v>
      </c>
      <c r="E25" s="1278"/>
      <c r="F25" s="1278">
        <f>E25+D25</f>
        <v>0</v>
      </c>
      <c r="G25" s="1278"/>
      <c r="H25" s="1278">
        <v>1417</v>
      </c>
      <c r="I25" s="199">
        <f t="shared" si="4"/>
        <v>0</v>
      </c>
      <c r="J25" s="199">
        <f t="shared" si="5"/>
        <v>1417</v>
      </c>
      <c r="K25" s="1295">
        <f t="shared" si="6"/>
        <v>1417</v>
      </c>
      <c r="L25" s="122"/>
      <c r="M25" s="122"/>
      <c r="N25" s="1274"/>
      <c r="O25" s="1274"/>
      <c r="P25" s="1274"/>
      <c r="Q25" s="1274"/>
      <c r="R25" s="205"/>
      <c r="S25" s="205"/>
      <c r="T25" s="1313"/>
    </row>
    <row r="26" spans="2:20" x14ac:dyDescent="0.2">
      <c r="B26" s="1376">
        <f t="shared" si="0"/>
        <v>16</v>
      </c>
      <c r="C26" s="121" t="s">
        <v>46</v>
      </c>
      <c r="D26" s="1272"/>
      <c r="E26" s="1272"/>
      <c r="F26" s="1272"/>
      <c r="G26" s="1272"/>
      <c r="H26" s="1272"/>
      <c r="I26" s="199">
        <f t="shared" si="4"/>
        <v>0</v>
      </c>
      <c r="J26" s="199">
        <f t="shared" si="5"/>
        <v>0</v>
      </c>
      <c r="K26" s="1295">
        <f t="shared" si="6"/>
        <v>0</v>
      </c>
      <c r="L26" s="1272" t="s">
        <v>34</v>
      </c>
      <c r="M26" s="124"/>
      <c r="N26" s="1273"/>
      <c r="O26" s="1274"/>
      <c r="P26" s="1274"/>
      <c r="Q26" s="1274"/>
      <c r="R26" s="205"/>
      <c r="S26" s="205"/>
      <c r="T26" s="1313"/>
    </row>
    <row r="27" spans="2:20" x14ac:dyDescent="0.2">
      <c r="B27" s="1376">
        <f t="shared" si="0"/>
        <v>17</v>
      </c>
      <c r="C27" s="121" t="s">
        <v>47</v>
      </c>
      <c r="D27" s="95"/>
      <c r="E27" s="95"/>
      <c r="F27" s="95"/>
      <c r="G27" s="95"/>
      <c r="H27" s="95"/>
      <c r="I27" s="199">
        <f t="shared" si="4"/>
        <v>0</v>
      </c>
      <c r="J27" s="199">
        <f t="shared" si="5"/>
        <v>0</v>
      </c>
      <c r="K27" s="1295">
        <f t="shared" si="6"/>
        <v>0</v>
      </c>
      <c r="L27" s="95" t="s">
        <v>290</v>
      </c>
      <c r="M27" s="122">
        <f>'felhalm. kiad.  '!M133</f>
        <v>8880</v>
      </c>
      <c r="N27" s="1274">
        <f>'felhalm. kiad.  '!P133</f>
        <v>0</v>
      </c>
      <c r="O27" s="1274">
        <f>SUM(M27:N27)</f>
        <v>8880</v>
      </c>
      <c r="P27" s="1274">
        <v>-7880</v>
      </c>
      <c r="Q27" s="1274">
        <v>2800</v>
      </c>
      <c r="R27" s="1274">
        <f>M27+P27</f>
        <v>1000</v>
      </c>
      <c r="S27" s="1274">
        <f>N27+Q27</f>
        <v>2800</v>
      </c>
      <c r="T27" s="1316">
        <f>R27+S27</f>
        <v>3800</v>
      </c>
    </row>
    <row r="28" spans="2:20" x14ac:dyDescent="0.2">
      <c r="B28" s="1376">
        <f t="shared" si="0"/>
        <v>18</v>
      </c>
      <c r="C28" s="121"/>
      <c r="D28" s="95"/>
      <c r="E28" s="95"/>
      <c r="F28" s="95"/>
      <c r="G28" s="95"/>
      <c r="H28" s="95"/>
      <c r="I28" s="199"/>
      <c r="J28" s="199"/>
      <c r="K28" s="1295"/>
      <c r="L28" s="95" t="s">
        <v>31</v>
      </c>
      <c r="M28" s="122"/>
      <c r="N28" s="1274"/>
      <c r="O28" s="1274"/>
      <c r="P28" s="1274"/>
      <c r="Q28" s="1274"/>
      <c r="R28" s="205"/>
      <c r="S28" s="205"/>
      <c r="T28" s="1313"/>
    </row>
    <row r="29" spans="2:20" x14ac:dyDescent="0.2">
      <c r="B29" s="1376">
        <f t="shared" si="0"/>
        <v>19</v>
      </c>
      <c r="C29" s="1279" t="s">
        <v>50</v>
      </c>
      <c r="D29" s="95"/>
      <c r="E29" s="95"/>
      <c r="F29" s="95"/>
      <c r="G29" s="95"/>
      <c r="H29" s="95"/>
      <c r="I29" s="199">
        <f t="shared" si="4"/>
        <v>0</v>
      </c>
      <c r="J29" s="199">
        <f t="shared" si="5"/>
        <v>0</v>
      </c>
      <c r="K29" s="1295">
        <f t="shared" si="6"/>
        <v>0</v>
      </c>
      <c r="L29" s="95" t="s">
        <v>32</v>
      </c>
      <c r="M29" s="122"/>
      <c r="N29" s="1274"/>
      <c r="O29" s="1274"/>
      <c r="P29" s="1274"/>
      <c r="Q29" s="1274"/>
      <c r="R29" s="205"/>
      <c r="S29" s="205"/>
      <c r="T29" s="1313"/>
    </row>
    <row r="30" spans="2:20" s="100" customFormat="1" x14ac:dyDescent="0.2">
      <c r="B30" s="1376">
        <f t="shared" si="0"/>
        <v>20</v>
      </c>
      <c r="C30" s="1279" t="s">
        <v>48</v>
      </c>
      <c r="D30" s="95"/>
      <c r="E30" s="95"/>
      <c r="F30" s="95"/>
      <c r="G30" s="95"/>
      <c r="H30" s="95"/>
      <c r="I30" s="199">
        <f t="shared" si="4"/>
        <v>0</v>
      </c>
      <c r="J30" s="199">
        <f t="shared" si="5"/>
        <v>0</v>
      </c>
      <c r="K30" s="1295">
        <f t="shared" si="6"/>
        <v>0</v>
      </c>
      <c r="L30" s="95" t="s">
        <v>472</v>
      </c>
      <c r="M30" s="122"/>
      <c r="N30" s="1274"/>
      <c r="O30" s="1274"/>
      <c r="P30" s="1289"/>
      <c r="Q30" s="1289"/>
      <c r="R30" s="1280"/>
      <c r="S30" s="1280"/>
      <c r="T30" s="1314"/>
    </row>
    <row r="31" spans="2:20" x14ac:dyDescent="0.2">
      <c r="B31" s="1376">
        <f t="shared" si="0"/>
        <v>21</v>
      </c>
      <c r="C31" s="1279"/>
      <c r="D31" s="95"/>
      <c r="E31" s="95"/>
      <c r="F31" s="95"/>
      <c r="G31" s="95"/>
      <c r="H31" s="95"/>
      <c r="I31" s="199"/>
      <c r="J31" s="199"/>
      <c r="K31" s="1295"/>
      <c r="L31" s="95" t="s">
        <v>469</v>
      </c>
      <c r="M31" s="122"/>
      <c r="N31" s="1274"/>
      <c r="O31" s="1274"/>
      <c r="P31" s="1274"/>
      <c r="Q31" s="1274"/>
      <c r="R31" s="205"/>
      <c r="S31" s="205"/>
      <c r="T31" s="1313"/>
    </row>
    <row r="32" spans="2:20" s="11" customFormat="1" x14ac:dyDescent="0.2">
      <c r="B32" s="1376">
        <f t="shared" si="0"/>
        <v>22</v>
      </c>
      <c r="C32" s="1284" t="s">
        <v>52</v>
      </c>
      <c r="D32" s="1285">
        <f>D14+D20</f>
        <v>38337</v>
      </c>
      <c r="E32" s="1285">
        <f>E14+E20</f>
        <v>66835</v>
      </c>
      <c r="F32" s="1285">
        <f>F14+F20</f>
        <v>105172</v>
      </c>
      <c r="G32" s="1285">
        <f>G13+G14+G18+G20+G29</f>
        <v>0</v>
      </c>
      <c r="H32" s="1285">
        <f>H13+H14+H18+H20+H29</f>
        <v>1377</v>
      </c>
      <c r="I32" s="1321">
        <f t="shared" si="4"/>
        <v>38337</v>
      </c>
      <c r="J32" s="1321">
        <f t="shared" si="5"/>
        <v>68212</v>
      </c>
      <c r="K32" s="1322">
        <f t="shared" si="6"/>
        <v>106549</v>
      </c>
      <c r="L32" s="95" t="s">
        <v>465</v>
      </c>
      <c r="M32" s="122"/>
      <c r="N32" s="1274"/>
      <c r="O32" s="1274"/>
      <c r="P32" s="1273"/>
      <c r="Q32" s="1273"/>
      <c r="R32" s="1286"/>
      <c r="S32" s="1286"/>
      <c r="T32" s="1315"/>
    </row>
    <row r="33" spans="2:20" x14ac:dyDescent="0.2">
      <c r="B33" s="1376">
        <f t="shared" si="0"/>
        <v>23</v>
      </c>
      <c r="C33" s="1287" t="s">
        <v>67</v>
      </c>
      <c r="D33" s="1288">
        <f>D16+D24+D25+D26+D27+D30</f>
        <v>0</v>
      </c>
      <c r="E33" s="1288">
        <f t="shared" ref="E33:F33" si="8">E16+E24+E25+E26+E27+E30</f>
        <v>0</v>
      </c>
      <c r="F33" s="1288">
        <f t="shared" si="8"/>
        <v>0</v>
      </c>
      <c r="G33" s="1288">
        <f>G16+G23+G24+G25+G26+G27+G30</f>
        <v>0</v>
      </c>
      <c r="H33" s="1288">
        <f>H16+H23+H24+H25+H26+H27+H30</f>
        <v>1417</v>
      </c>
      <c r="I33" s="1323">
        <f t="shared" si="4"/>
        <v>0</v>
      </c>
      <c r="J33" s="1323">
        <f t="shared" si="5"/>
        <v>1417</v>
      </c>
      <c r="K33" s="1324">
        <f t="shared" si="6"/>
        <v>1417</v>
      </c>
      <c r="L33" s="1281" t="s">
        <v>68</v>
      </c>
      <c r="M33" s="1288">
        <f>SUM(M27:M32)</f>
        <v>8880</v>
      </c>
      <c r="N33" s="1289">
        <f>SUM(N27:N32)</f>
        <v>0</v>
      </c>
      <c r="O33" s="1289">
        <f>SUM(O27:O31)</f>
        <v>8880</v>
      </c>
      <c r="P33" s="1274">
        <f>SUM(P27:P32)</f>
        <v>-7880</v>
      </c>
      <c r="Q33" s="1274">
        <f>SUM(Q27:Q32)</f>
        <v>2800</v>
      </c>
      <c r="R33" s="1274">
        <f>SUM(R27:R32)</f>
        <v>1000</v>
      </c>
      <c r="S33" s="1274">
        <f>SUM(S27:S32)</f>
        <v>2800</v>
      </c>
      <c r="T33" s="1316">
        <f>SUM(T27:T32)</f>
        <v>3800</v>
      </c>
    </row>
    <row r="34" spans="2:20" x14ac:dyDescent="0.2">
      <c r="B34" s="1376">
        <f t="shared" si="0"/>
        <v>24</v>
      </c>
      <c r="C34" s="126" t="s">
        <v>51</v>
      </c>
      <c r="D34" s="124">
        <f>SUM(D32:D33)</f>
        <v>38337</v>
      </c>
      <c r="E34" s="124">
        <f>SUM(E32:E33)</f>
        <v>66835</v>
      </c>
      <c r="F34" s="124">
        <f>SUM(D34:E34)</f>
        <v>105172</v>
      </c>
      <c r="G34" s="124">
        <f>SUM(G32:G33)</f>
        <v>0</v>
      </c>
      <c r="H34" s="124">
        <f>SUM(H32:H33)</f>
        <v>2794</v>
      </c>
      <c r="I34" s="1319">
        <f t="shared" si="4"/>
        <v>38337</v>
      </c>
      <c r="J34" s="1319">
        <f t="shared" si="5"/>
        <v>69629</v>
      </c>
      <c r="K34" s="1320">
        <f t="shared" si="6"/>
        <v>107966</v>
      </c>
      <c r="L34" s="124" t="s">
        <v>69</v>
      </c>
      <c r="M34" s="124">
        <f t="shared" ref="M34:S34" si="9">M24+M33</f>
        <v>135946</v>
      </c>
      <c r="N34" s="1273">
        <f t="shared" si="9"/>
        <v>272344</v>
      </c>
      <c r="O34" s="1273">
        <f t="shared" si="9"/>
        <v>408290</v>
      </c>
      <c r="P34" s="1274">
        <f t="shared" si="9"/>
        <v>2952</v>
      </c>
      <c r="Q34" s="1274">
        <f t="shared" si="9"/>
        <v>12675</v>
      </c>
      <c r="R34" s="1274">
        <f t="shared" si="9"/>
        <v>138898</v>
      </c>
      <c r="S34" s="1274">
        <f t="shared" si="9"/>
        <v>285019</v>
      </c>
      <c r="T34" s="1316">
        <f>R34+S34</f>
        <v>423917</v>
      </c>
    </row>
    <row r="35" spans="2:20" x14ac:dyDescent="0.2">
      <c r="B35" s="1376">
        <f t="shared" si="0"/>
        <v>25</v>
      </c>
      <c r="C35" s="1279"/>
      <c r="D35" s="122"/>
      <c r="E35" s="122"/>
      <c r="F35" s="122"/>
      <c r="G35" s="122"/>
      <c r="H35" s="122"/>
      <c r="I35" s="199"/>
      <c r="J35" s="199"/>
      <c r="K35" s="1295"/>
      <c r="L35" s="122"/>
      <c r="M35" s="122"/>
      <c r="N35" s="1274"/>
      <c r="O35" s="1274"/>
      <c r="P35" s="1274"/>
      <c r="Q35" s="1274"/>
      <c r="R35" s="205"/>
      <c r="S35" s="205"/>
      <c r="T35" s="1313"/>
    </row>
    <row r="36" spans="2:20" x14ac:dyDescent="0.2">
      <c r="B36" s="1376">
        <f t="shared" si="0"/>
        <v>26</v>
      </c>
      <c r="C36" s="1279"/>
      <c r="D36" s="122"/>
      <c r="E36" s="122"/>
      <c r="F36" s="122"/>
      <c r="G36" s="122"/>
      <c r="H36" s="122"/>
      <c r="I36" s="199"/>
      <c r="J36" s="199"/>
      <c r="K36" s="1295"/>
      <c r="L36" s="1282"/>
      <c r="M36" s="1282"/>
      <c r="N36" s="1283"/>
      <c r="O36" s="1283"/>
      <c r="P36" s="1274"/>
      <c r="Q36" s="1274"/>
      <c r="R36" s="205"/>
      <c r="S36" s="205"/>
      <c r="T36" s="1313"/>
    </row>
    <row r="37" spans="2:20" s="11" customFormat="1" x14ac:dyDescent="0.2">
      <c r="B37" s="1376">
        <f t="shared" si="0"/>
        <v>27</v>
      </c>
      <c r="C37" s="1279"/>
      <c r="D37" s="122"/>
      <c r="E37" s="122"/>
      <c r="F37" s="122"/>
      <c r="G37" s="122"/>
      <c r="H37" s="122"/>
      <c r="I37" s="199"/>
      <c r="J37" s="199"/>
      <c r="K37" s="1295"/>
      <c r="L37" s="122"/>
      <c r="M37" s="122"/>
      <c r="N37" s="1274"/>
      <c r="O37" s="1274"/>
      <c r="P37" s="1273"/>
      <c r="Q37" s="1273"/>
      <c r="R37" s="1286"/>
      <c r="S37" s="1286"/>
      <c r="T37" s="1315"/>
    </row>
    <row r="38" spans="2:20" s="11" customFormat="1" x14ac:dyDescent="0.2">
      <c r="B38" s="1376">
        <f t="shared" si="0"/>
        <v>28</v>
      </c>
      <c r="C38" s="1272" t="s">
        <v>53</v>
      </c>
      <c r="D38" s="1272"/>
      <c r="E38" s="1272"/>
      <c r="F38" s="1272"/>
      <c r="G38" s="1272"/>
      <c r="H38" s="1272"/>
      <c r="I38" s="199"/>
      <c r="J38" s="199"/>
      <c r="K38" s="1295"/>
      <c r="L38" s="1272" t="s">
        <v>33</v>
      </c>
      <c r="M38" s="124"/>
      <c r="N38" s="1273"/>
      <c r="O38" s="1273"/>
      <c r="P38" s="1273"/>
      <c r="Q38" s="1273"/>
      <c r="R38" s="1286"/>
      <c r="S38" s="1286"/>
      <c r="T38" s="1315"/>
    </row>
    <row r="39" spans="2:20" s="11" customFormat="1" x14ac:dyDescent="0.2">
      <c r="B39" s="1376">
        <f t="shared" si="0"/>
        <v>29</v>
      </c>
      <c r="C39" s="1290" t="s">
        <v>725</v>
      </c>
      <c r="D39" s="1272"/>
      <c r="E39" s="1272"/>
      <c r="F39" s="1272"/>
      <c r="G39" s="1272"/>
      <c r="H39" s="1272"/>
      <c r="I39" s="199"/>
      <c r="J39" s="199"/>
      <c r="K39" s="1295"/>
      <c r="L39" s="1290" t="s">
        <v>4</v>
      </c>
      <c r="M39" s="124"/>
      <c r="N39" s="1286"/>
      <c r="O39" s="1286"/>
      <c r="P39" s="1273"/>
      <c r="Q39" s="1273"/>
      <c r="R39" s="1286"/>
      <c r="S39" s="1286"/>
      <c r="T39" s="1315"/>
    </row>
    <row r="40" spans="2:20" s="11" customFormat="1" x14ac:dyDescent="0.2">
      <c r="B40" s="1376">
        <f t="shared" si="0"/>
        <v>30</v>
      </c>
      <c r="C40" s="121" t="s">
        <v>1016</v>
      </c>
      <c r="D40" s="1272"/>
      <c r="E40" s="1272"/>
      <c r="F40" s="1272"/>
      <c r="G40" s="1272"/>
      <c r="H40" s="1272"/>
      <c r="I40" s="199"/>
      <c r="J40" s="199"/>
      <c r="K40" s="1295"/>
      <c r="L40" s="121" t="s">
        <v>3</v>
      </c>
      <c r="M40" s="124"/>
      <c r="N40" s="1273"/>
      <c r="O40" s="1273"/>
      <c r="P40" s="1273"/>
      <c r="Q40" s="1273"/>
      <c r="R40" s="1286"/>
      <c r="S40" s="1286"/>
      <c r="T40" s="1315"/>
    </row>
    <row r="41" spans="2:20" x14ac:dyDescent="0.2">
      <c r="B41" s="1376">
        <f t="shared" si="0"/>
        <v>31</v>
      </c>
      <c r="C41" s="95" t="s">
        <v>727</v>
      </c>
      <c r="D41" s="1291"/>
      <c r="E41" s="1291"/>
      <c r="F41" s="1291"/>
      <c r="G41" s="1291"/>
      <c r="H41" s="1291"/>
      <c r="I41" s="199"/>
      <c r="J41" s="199"/>
      <c r="K41" s="1295"/>
      <c r="L41" s="95" t="s">
        <v>5</v>
      </c>
      <c r="M41" s="124"/>
      <c r="N41" s="1273"/>
      <c r="O41" s="1273"/>
      <c r="P41" s="1274"/>
      <c r="Q41" s="1274"/>
      <c r="R41" s="205"/>
      <c r="S41" s="205"/>
      <c r="T41" s="1313"/>
    </row>
    <row r="42" spans="2:20" x14ac:dyDescent="0.2">
      <c r="B42" s="1376">
        <f t="shared" si="0"/>
        <v>32</v>
      </c>
      <c r="C42" s="95" t="s">
        <v>222</v>
      </c>
      <c r="D42" s="95"/>
      <c r="E42" s="95"/>
      <c r="F42" s="95"/>
      <c r="G42" s="95"/>
      <c r="H42" s="95"/>
      <c r="I42" s="199"/>
      <c r="J42" s="199"/>
      <c r="K42" s="1295"/>
      <c r="L42" s="95" t="s">
        <v>6</v>
      </c>
      <c r="M42" s="124"/>
      <c r="N42" s="1273"/>
      <c r="O42" s="1273"/>
      <c r="P42" s="1274"/>
      <c r="Q42" s="1274"/>
      <c r="R42" s="205"/>
      <c r="S42" s="205"/>
      <c r="T42" s="1313"/>
    </row>
    <row r="43" spans="2:20" x14ac:dyDescent="0.2">
      <c r="B43" s="1376">
        <f t="shared" si="0"/>
        <v>33</v>
      </c>
      <c r="C43" s="1292" t="s">
        <v>223</v>
      </c>
      <c r="D43" s="95"/>
      <c r="E43" s="95"/>
      <c r="F43" s="95">
        <f>D43+E43</f>
        <v>0</v>
      </c>
      <c r="G43" s="95">
        <v>5752</v>
      </c>
      <c r="H43" s="95"/>
      <c r="I43" s="199">
        <f t="shared" si="4"/>
        <v>5752</v>
      </c>
      <c r="J43" s="199">
        <f t="shared" si="4"/>
        <v>0</v>
      </c>
      <c r="K43" s="1295">
        <f t="shared" si="6"/>
        <v>5752</v>
      </c>
      <c r="L43" s="95" t="s">
        <v>7</v>
      </c>
      <c r="M43" s="124"/>
      <c r="N43" s="1273"/>
      <c r="O43" s="1273"/>
      <c r="P43" s="1274"/>
      <c r="Q43" s="1274"/>
      <c r="R43" s="205"/>
      <c r="S43" s="205"/>
      <c r="T43" s="1313"/>
    </row>
    <row r="44" spans="2:20" x14ac:dyDescent="0.2">
      <c r="B44" s="1376">
        <f t="shared" si="0"/>
        <v>34</v>
      </c>
      <c r="C44" s="1292" t="s">
        <v>1012</v>
      </c>
      <c r="D44" s="95"/>
      <c r="E44" s="95"/>
      <c r="F44" s="95"/>
      <c r="G44" s="95"/>
      <c r="H44" s="95"/>
      <c r="I44" s="199"/>
      <c r="J44" s="199"/>
      <c r="K44" s="1295"/>
      <c r="L44" s="95"/>
      <c r="M44" s="124"/>
      <c r="N44" s="1273"/>
      <c r="O44" s="1273"/>
      <c r="P44" s="1274"/>
      <c r="Q44" s="1274"/>
      <c r="R44" s="205"/>
      <c r="S44" s="205"/>
      <c r="T44" s="1313"/>
    </row>
    <row r="45" spans="2:20" x14ac:dyDescent="0.2">
      <c r="B45" s="1376">
        <f t="shared" si="0"/>
        <v>35</v>
      </c>
      <c r="C45" s="95" t="s">
        <v>728</v>
      </c>
      <c r="D45" s="95"/>
      <c r="E45" s="95"/>
      <c r="F45" s="95"/>
      <c r="G45" s="95"/>
      <c r="H45" s="95"/>
      <c r="I45" s="199"/>
      <c r="J45" s="199"/>
      <c r="K45" s="1295"/>
      <c r="L45" s="95" t="s">
        <v>8</v>
      </c>
      <c r="M45" s="124"/>
      <c r="N45" s="1273"/>
      <c r="O45" s="1274"/>
      <c r="P45" s="1274"/>
      <c r="Q45" s="1274"/>
      <c r="R45" s="205"/>
      <c r="S45" s="205"/>
      <c r="T45" s="1313"/>
    </row>
    <row r="46" spans="2:20" x14ac:dyDescent="0.2">
      <c r="B46" s="1376">
        <f t="shared" si="0"/>
        <v>36</v>
      </c>
      <c r="C46" s="95" t="s">
        <v>729</v>
      </c>
      <c r="D46" s="1272"/>
      <c r="E46" s="1272"/>
      <c r="F46" s="1272"/>
      <c r="G46" s="1272"/>
      <c r="H46" s="1272"/>
      <c r="I46" s="199"/>
      <c r="J46" s="199"/>
      <c r="K46" s="1295"/>
      <c r="L46" s="95" t="s">
        <v>9</v>
      </c>
      <c r="M46" s="124"/>
      <c r="N46" s="1273"/>
      <c r="O46" s="1274"/>
      <c r="P46" s="1274"/>
      <c r="Q46" s="1274"/>
      <c r="R46" s="205"/>
      <c r="S46" s="205"/>
      <c r="T46" s="1313"/>
    </row>
    <row r="47" spans="2:20" x14ac:dyDescent="0.2">
      <c r="B47" s="1376">
        <f t="shared" si="0"/>
        <v>37</v>
      </c>
      <c r="C47" s="95" t="s">
        <v>226</v>
      </c>
      <c r="D47" s="95"/>
      <c r="E47" s="95"/>
      <c r="F47" s="95"/>
      <c r="G47" s="95"/>
      <c r="H47" s="95"/>
      <c r="I47" s="199"/>
      <c r="J47" s="199"/>
      <c r="K47" s="1295"/>
      <c r="L47" s="95" t="s">
        <v>10</v>
      </c>
      <c r="M47" s="122"/>
      <c r="N47" s="1274"/>
      <c r="O47" s="1274"/>
      <c r="P47" s="1274"/>
      <c r="Q47" s="1274"/>
      <c r="R47" s="205"/>
      <c r="S47" s="205"/>
      <c r="T47" s="1313"/>
    </row>
    <row r="48" spans="2:20" x14ac:dyDescent="0.2">
      <c r="B48" s="1376">
        <f t="shared" si="0"/>
        <v>38</v>
      </c>
      <c r="C48" s="1292" t="s">
        <v>227</v>
      </c>
      <c r="D48" s="199">
        <f>M24-(D32+D43)</f>
        <v>88729</v>
      </c>
      <c r="E48" s="199">
        <f>N24-(E32+E43)</f>
        <v>205509</v>
      </c>
      <c r="F48" s="199">
        <f>O24-(F32+F43)</f>
        <v>294238</v>
      </c>
      <c r="G48" s="199">
        <f t="shared" ref="G48:H48" si="10">P24-(G32+G43)</f>
        <v>5080</v>
      </c>
      <c r="H48" s="199">
        <f t="shared" si="10"/>
        <v>8498</v>
      </c>
      <c r="I48" s="199">
        <f t="shared" si="4"/>
        <v>93809</v>
      </c>
      <c r="J48" s="199">
        <f t="shared" si="5"/>
        <v>214007</v>
      </c>
      <c r="K48" s="1295">
        <f t="shared" si="6"/>
        <v>307816</v>
      </c>
      <c r="L48" s="95" t="s">
        <v>11</v>
      </c>
      <c r="M48" s="122"/>
      <c r="N48" s="1274"/>
      <c r="O48" s="1274"/>
      <c r="P48" s="1274"/>
      <c r="Q48" s="1274"/>
      <c r="R48" s="205"/>
      <c r="S48" s="205"/>
      <c r="T48" s="1313"/>
    </row>
    <row r="49" spans="2:20" x14ac:dyDescent="0.2">
      <c r="B49" s="1376">
        <f t="shared" si="0"/>
        <v>39</v>
      </c>
      <c r="C49" s="1292" t="s">
        <v>228</v>
      </c>
      <c r="D49" s="95">
        <f>M33-D33</f>
        <v>8880</v>
      </c>
      <c r="E49" s="95">
        <f>N33-E33</f>
        <v>0</v>
      </c>
      <c r="F49" s="95">
        <f>O33-F33</f>
        <v>8880</v>
      </c>
      <c r="G49" s="95">
        <f t="shared" ref="G49:H49" si="11">P33-G33</f>
        <v>-7880</v>
      </c>
      <c r="H49" s="95">
        <f t="shared" si="11"/>
        <v>1383</v>
      </c>
      <c r="I49" s="199">
        <f t="shared" si="4"/>
        <v>1000</v>
      </c>
      <c r="J49" s="199">
        <f t="shared" si="5"/>
        <v>1383</v>
      </c>
      <c r="K49" s="1295">
        <f t="shared" si="6"/>
        <v>2383</v>
      </c>
      <c r="L49" s="95" t="s">
        <v>12</v>
      </c>
      <c r="M49" s="122"/>
      <c r="N49" s="1274"/>
      <c r="O49" s="1274"/>
      <c r="P49" s="1274"/>
      <c r="Q49" s="1274"/>
      <c r="R49" s="205"/>
      <c r="S49" s="205"/>
      <c r="T49" s="1313"/>
    </row>
    <row r="50" spans="2:20" x14ac:dyDescent="0.2">
      <c r="B50" s="1376">
        <f t="shared" si="0"/>
        <v>40</v>
      </c>
      <c r="C50" s="95" t="s">
        <v>1</v>
      </c>
      <c r="D50" s="95"/>
      <c r="E50" s="95"/>
      <c r="F50" s="95"/>
      <c r="G50" s="95"/>
      <c r="H50" s="95"/>
      <c r="I50" s="199"/>
      <c r="J50" s="199"/>
      <c r="K50" s="1295"/>
      <c r="L50" s="95" t="s">
        <v>13</v>
      </c>
      <c r="M50" s="122"/>
      <c r="N50" s="1274"/>
      <c r="O50" s="1274"/>
      <c r="P50" s="1274"/>
      <c r="Q50" s="1274"/>
      <c r="R50" s="205"/>
      <c r="S50" s="205"/>
      <c r="T50" s="1313"/>
    </row>
    <row r="51" spans="2:20" x14ac:dyDescent="0.2">
      <c r="B51" s="1376">
        <f t="shared" si="0"/>
        <v>41</v>
      </c>
      <c r="C51" s="95"/>
      <c r="D51" s="95"/>
      <c r="E51" s="95"/>
      <c r="F51" s="95"/>
      <c r="G51" s="95"/>
      <c r="H51" s="95"/>
      <c r="I51" s="199"/>
      <c r="J51" s="199"/>
      <c r="K51" s="1295"/>
      <c r="L51" s="95" t="s">
        <v>14</v>
      </c>
      <c r="M51" s="122"/>
      <c r="N51" s="1274"/>
      <c r="O51" s="1274"/>
      <c r="P51" s="1274"/>
      <c r="Q51" s="1274"/>
      <c r="R51" s="205"/>
      <c r="S51" s="205"/>
      <c r="T51" s="1313"/>
    </row>
    <row r="52" spans="2:20" x14ac:dyDescent="0.2">
      <c r="B52" s="1376">
        <f t="shared" si="0"/>
        <v>42</v>
      </c>
      <c r="C52" s="95"/>
      <c r="D52" s="95"/>
      <c r="E52" s="95"/>
      <c r="F52" s="95"/>
      <c r="G52" s="95"/>
      <c r="H52" s="95"/>
      <c r="I52" s="199"/>
      <c r="J52" s="199"/>
      <c r="K52" s="1295"/>
      <c r="L52" s="95" t="s">
        <v>15</v>
      </c>
      <c r="M52" s="122"/>
      <c r="N52" s="1274"/>
      <c r="O52" s="1274"/>
      <c r="P52" s="1274"/>
      <c r="Q52" s="1274"/>
      <c r="R52" s="205"/>
      <c r="S52" s="205"/>
      <c r="T52" s="1313"/>
    </row>
    <row r="53" spans="2:20" ht="12" thickBot="1" x14ac:dyDescent="0.25">
      <c r="B53" s="1344">
        <f t="shared" si="0"/>
        <v>43</v>
      </c>
      <c r="C53" s="126" t="s">
        <v>473</v>
      </c>
      <c r="D53" s="1272">
        <f>SUM(D39:D51)</f>
        <v>97609</v>
      </c>
      <c r="E53" s="1272">
        <f>SUM(E39:E51)</f>
        <v>205509</v>
      </c>
      <c r="F53" s="1272">
        <f>SUM(F39:F51)</f>
        <v>303118</v>
      </c>
      <c r="G53" s="1272">
        <f t="shared" ref="G53:H53" si="12">SUM(G39:G51)</f>
        <v>2952</v>
      </c>
      <c r="H53" s="1272">
        <f t="shared" si="12"/>
        <v>9881</v>
      </c>
      <c r="I53" s="199">
        <f t="shared" si="4"/>
        <v>100561</v>
      </c>
      <c r="J53" s="199">
        <f t="shared" si="5"/>
        <v>215390</v>
      </c>
      <c r="K53" s="1295">
        <f t="shared" si="6"/>
        <v>315951</v>
      </c>
      <c r="L53" s="1272" t="s">
        <v>466</v>
      </c>
      <c r="M53" s="124">
        <f>SUM(M39:M52)</f>
        <v>0</v>
      </c>
      <c r="N53" s="1273">
        <f>SUM(N39:N52)</f>
        <v>0</v>
      </c>
      <c r="O53" s="1273">
        <f>SUM(O39:O52)</f>
        <v>0</v>
      </c>
      <c r="P53" s="1274"/>
      <c r="Q53" s="1274"/>
      <c r="R53" s="1274">
        <f>M53+P53</f>
        <v>0</v>
      </c>
      <c r="S53" s="1274">
        <f>N53+Q53</f>
        <v>0</v>
      </c>
      <c r="T53" s="1316">
        <f>R53+S53</f>
        <v>0</v>
      </c>
    </row>
    <row r="54" spans="2:20" ht="12" thickBot="1" x14ac:dyDescent="0.25">
      <c r="B54" s="737">
        <f t="shared" si="0"/>
        <v>44</v>
      </c>
      <c r="C54" s="738" t="s">
        <v>468</v>
      </c>
      <c r="D54" s="697">
        <f>D34+D53</f>
        <v>135946</v>
      </c>
      <c r="E54" s="697">
        <f>E34+E53</f>
        <v>272344</v>
      </c>
      <c r="F54" s="697">
        <f>F34+F53</f>
        <v>408290</v>
      </c>
      <c r="G54" s="697">
        <f>G53+G34</f>
        <v>2952</v>
      </c>
      <c r="H54" s="697">
        <f>H53+H34</f>
        <v>12675</v>
      </c>
      <c r="I54" s="1325">
        <f t="shared" si="4"/>
        <v>138898</v>
      </c>
      <c r="J54" s="1325">
        <f t="shared" si="5"/>
        <v>285019</v>
      </c>
      <c r="K54" s="1326">
        <f t="shared" si="6"/>
        <v>423917</v>
      </c>
      <c r="L54" s="1317" t="s">
        <v>467</v>
      </c>
      <c r="M54" s="697">
        <f>M34+M53</f>
        <v>135946</v>
      </c>
      <c r="N54" s="739">
        <f>N34+N53</f>
        <v>272344</v>
      </c>
      <c r="O54" s="739">
        <f>O34+O53</f>
        <v>408290</v>
      </c>
      <c r="P54" s="739">
        <f>P34</f>
        <v>2952</v>
      </c>
      <c r="Q54" s="739">
        <f>Q34</f>
        <v>12675</v>
      </c>
      <c r="R54" s="739">
        <f>R34</f>
        <v>138898</v>
      </c>
      <c r="S54" s="739">
        <f>S34</f>
        <v>285019</v>
      </c>
      <c r="T54" s="1318">
        <f>T34</f>
        <v>423917</v>
      </c>
    </row>
    <row r="55" spans="2:20" x14ac:dyDescent="0.2">
      <c r="C55" s="128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31"/>
      <c r="O55" s="131"/>
      <c r="P55" s="10"/>
    </row>
    <row r="56" spans="2:20" x14ac:dyDescent="0.2">
      <c r="P56" s="10"/>
    </row>
  </sheetData>
  <sheetProtection selectLockedCells="1" selectUnlockedCells="1"/>
  <mergeCells count="16">
    <mergeCell ref="C1:T1"/>
    <mergeCell ref="B8:B10"/>
    <mergeCell ref="C8:C9"/>
    <mergeCell ref="D8:F8"/>
    <mergeCell ref="L8:L9"/>
    <mergeCell ref="D9:F9"/>
    <mergeCell ref="M9:O9"/>
    <mergeCell ref="G9:H9"/>
    <mergeCell ref="I9:K9"/>
    <mergeCell ref="C7:T7"/>
    <mergeCell ref="B4:T4"/>
    <mergeCell ref="B5:T5"/>
    <mergeCell ref="B6:T6"/>
    <mergeCell ref="P9:Q9"/>
    <mergeCell ref="R9:T9"/>
    <mergeCell ref="M8:T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279" customWidth="1"/>
    <col min="5" max="5" width="10.42578125" style="279" bestFit="1" customWidth="1"/>
    <col min="6" max="9" width="9.7109375" style="279" customWidth="1"/>
    <col min="10" max="10" width="10.140625" style="279" customWidth="1"/>
    <col min="11" max="14" width="9.7109375" style="279" customWidth="1"/>
    <col min="15" max="15" width="11.5703125" style="279" customWidth="1"/>
    <col min="16" max="16" width="10.140625" style="16" customWidth="1"/>
    <col min="17" max="16384" width="9.140625" style="16"/>
  </cols>
  <sheetData>
    <row r="1" spans="1:33" ht="12.75" customHeight="1" x14ac:dyDescent="0.25">
      <c r="B1" s="1654" t="s">
        <v>1212</v>
      </c>
      <c r="C1" s="1654"/>
      <c r="D1" s="1654"/>
      <c r="E1" s="1654"/>
      <c r="F1" s="1654"/>
      <c r="G1" s="1654"/>
      <c r="H1" s="1654"/>
      <c r="I1" s="1654"/>
      <c r="J1" s="1654"/>
      <c r="K1" s="1654"/>
      <c r="L1" s="1654"/>
      <c r="M1" s="1654"/>
      <c r="N1" s="1654"/>
      <c r="O1" s="1654"/>
      <c r="P1" s="631"/>
      <c r="Q1" s="631"/>
      <c r="R1" s="631"/>
      <c r="S1" s="631"/>
      <c r="T1" s="631"/>
      <c r="U1" s="631"/>
      <c r="V1" s="631"/>
      <c r="W1" s="631"/>
      <c r="X1" s="631"/>
      <c r="Y1" s="631"/>
      <c r="Z1" s="631"/>
      <c r="AA1" s="631"/>
      <c r="AB1" s="631"/>
      <c r="AC1" s="631"/>
      <c r="AD1" s="631"/>
      <c r="AE1" s="631"/>
      <c r="AF1" s="631"/>
      <c r="AG1" s="631"/>
    </row>
    <row r="2" spans="1:33" ht="14.1" customHeight="1" x14ac:dyDescent="0.25">
      <c r="A2" s="29"/>
      <c r="B2" s="1652" t="s">
        <v>87</v>
      </c>
      <c r="C2" s="1652"/>
      <c r="D2" s="1652"/>
      <c r="E2" s="1652"/>
      <c r="F2" s="1652"/>
      <c r="G2" s="1652"/>
      <c r="H2" s="1652"/>
      <c r="I2" s="1652"/>
      <c r="J2" s="1652"/>
      <c r="K2" s="1652"/>
      <c r="L2" s="1652"/>
      <c r="M2" s="1652"/>
      <c r="N2" s="1652"/>
      <c r="O2" s="1652"/>
    </row>
    <row r="3" spans="1:33" ht="14.1" customHeight="1" x14ac:dyDescent="0.25">
      <c r="A3" s="29"/>
      <c r="B3" s="1652" t="s">
        <v>1156</v>
      </c>
      <c r="C3" s="1652"/>
      <c r="D3" s="1652"/>
      <c r="E3" s="1652"/>
      <c r="F3" s="1652"/>
      <c r="G3" s="1652"/>
      <c r="H3" s="1652"/>
      <c r="I3" s="1652"/>
      <c r="J3" s="1652"/>
      <c r="K3" s="1652"/>
      <c r="L3" s="1652"/>
      <c r="M3" s="1652"/>
      <c r="N3" s="1652"/>
      <c r="O3" s="1652"/>
    </row>
    <row r="4" spans="1:33" ht="14.1" customHeight="1" x14ac:dyDescent="0.25">
      <c r="A4" s="29"/>
      <c r="B4" s="571"/>
      <c r="C4" s="572"/>
      <c r="D4" s="572"/>
      <c r="E4" s="572"/>
      <c r="F4" s="572"/>
      <c r="G4" s="572"/>
      <c r="H4" s="572"/>
      <c r="I4" s="572"/>
      <c r="J4" s="572"/>
      <c r="K4" s="572"/>
      <c r="L4" s="572"/>
      <c r="M4" s="572"/>
      <c r="N4" s="572"/>
      <c r="O4" s="572"/>
    </row>
    <row r="5" spans="1:33" ht="15" customHeight="1" x14ac:dyDescent="0.25">
      <c r="A5" s="1653"/>
      <c r="B5" s="573" t="s">
        <v>57</v>
      </c>
      <c r="C5" s="574" t="s">
        <v>58</v>
      </c>
      <c r="D5" s="574" t="s">
        <v>59</v>
      </c>
      <c r="E5" s="574" t="s">
        <v>60</v>
      </c>
      <c r="F5" s="574" t="s">
        <v>498</v>
      </c>
      <c r="G5" s="574" t="s">
        <v>499</v>
      </c>
      <c r="H5" s="574" t="s">
        <v>500</v>
      </c>
      <c r="I5" s="574" t="s">
        <v>628</v>
      </c>
      <c r="J5" s="574" t="s">
        <v>639</v>
      </c>
      <c r="K5" s="574" t="s">
        <v>640</v>
      </c>
      <c r="L5" s="574" t="s">
        <v>641</v>
      </c>
      <c r="M5" s="574" t="s">
        <v>642</v>
      </c>
      <c r="N5" s="574" t="s">
        <v>643</v>
      </c>
      <c r="O5" s="574" t="s">
        <v>644</v>
      </c>
    </row>
    <row r="6" spans="1:33" ht="12.75" customHeight="1" x14ac:dyDescent="0.25">
      <c r="A6" s="1653"/>
      <c r="B6" s="570" t="s">
        <v>86</v>
      </c>
      <c r="C6" s="575" t="s">
        <v>645</v>
      </c>
      <c r="D6" s="575" t="s">
        <v>646</v>
      </c>
      <c r="E6" s="575" t="s">
        <v>647</v>
      </c>
      <c r="F6" s="575" t="s">
        <v>648</v>
      </c>
      <c r="G6" s="575" t="s">
        <v>649</v>
      </c>
      <c r="H6" s="575" t="s">
        <v>650</v>
      </c>
      <c r="I6" s="575" t="s">
        <v>651</v>
      </c>
      <c r="J6" s="575" t="s">
        <v>652</v>
      </c>
      <c r="K6" s="575" t="s">
        <v>653</v>
      </c>
      <c r="L6" s="575" t="s">
        <v>654</v>
      </c>
      <c r="M6" s="575" t="s">
        <v>655</v>
      </c>
      <c r="N6" s="575" t="s">
        <v>656</v>
      </c>
      <c r="O6" s="575" t="s">
        <v>563</v>
      </c>
    </row>
    <row r="7" spans="1:33" s="29" customFormat="1" ht="12.75" customHeight="1" x14ac:dyDescent="0.25">
      <c r="A7" s="21" t="s">
        <v>507</v>
      </c>
      <c r="B7" s="31" t="s">
        <v>686</v>
      </c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</row>
    <row r="8" spans="1:33" s="29" customFormat="1" ht="15.75" customHeight="1" x14ac:dyDescent="0.25">
      <c r="A8" s="21" t="s">
        <v>515</v>
      </c>
      <c r="B8" s="29" t="s">
        <v>680</v>
      </c>
      <c r="C8" s="181">
        <f>O8/12</f>
        <v>69562.583333333328</v>
      </c>
      <c r="D8" s="181">
        <v>65801</v>
      </c>
      <c r="E8" s="181">
        <v>65796</v>
      </c>
      <c r="F8" s="181">
        <v>65796</v>
      </c>
      <c r="G8" s="181">
        <v>65796</v>
      </c>
      <c r="H8" s="181">
        <v>65796</v>
      </c>
      <c r="I8" s="181">
        <v>65796</v>
      </c>
      <c r="J8" s="181">
        <v>65796</v>
      </c>
      <c r="K8" s="181">
        <v>65796</v>
      </c>
      <c r="L8" s="181">
        <v>65796</v>
      </c>
      <c r="M8" s="181">
        <v>65796</v>
      </c>
      <c r="N8" s="181">
        <v>65796</v>
      </c>
      <c r="O8" s="181">
        <f>Össz.önkor.mérleg.!F11</f>
        <v>834751</v>
      </c>
      <c r="P8" s="32"/>
    </row>
    <row r="9" spans="1:33" s="29" customFormat="1" ht="16.5" customHeight="1" x14ac:dyDescent="0.25">
      <c r="A9" s="21" t="s">
        <v>516</v>
      </c>
      <c r="B9" s="29" t="s">
        <v>681</v>
      </c>
      <c r="C9" s="181">
        <f>O9/12</f>
        <v>3045.6666666666665</v>
      </c>
      <c r="D9" s="181">
        <v>2629</v>
      </c>
      <c r="E9" s="181">
        <v>2629</v>
      </c>
      <c r="F9" s="181">
        <v>2629</v>
      </c>
      <c r="G9" s="181">
        <v>2629</v>
      </c>
      <c r="H9" s="181">
        <v>2629</v>
      </c>
      <c r="I9" s="181">
        <v>2629</v>
      </c>
      <c r="J9" s="181">
        <v>2629</v>
      </c>
      <c r="K9" s="181">
        <v>2629</v>
      </c>
      <c r="L9" s="181">
        <v>2629</v>
      </c>
      <c r="M9" s="181">
        <v>2629</v>
      </c>
      <c r="N9" s="181">
        <v>2629</v>
      </c>
      <c r="O9" s="181">
        <f>Össz.önkor.mérleg.!F13</f>
        <v>36548</v>
      </c>
      <c r="P9" s="32"/>
    </row>
    <row r="10" spans="1:33" s="29" customFormat="1" ht="15.75" customHeight="1" x14ac:dyDescent="0.25">
      <c r="A10" s="21" t="s">
        <v>517</v>
      </c>
      <c r="B10" s="29" t="s">
        <v>478</v>
      </c>
      <c r="C10" s="181">
        <f>O10/12</f>
        <v>102943.33333333333</v>
      </c>
      <c r="D10" s="181">
        <v>102947</v>
      </c>
      <c r="E10" s="181">
        <v>102943</v>
      </c>
      <c r="F10" s="181">
        <v>102943</v>
      </c>
      <c r="G10" s="181">
        <v>102943</v>
      </c>
      <c r="H10" s="181">
        <v>102943</v>
      </c>
      <c r="I10" s="181">
        <v>102943</v>
      </c>
      <c r="J10" s="181">
        <v>102943</v>
      </c>
      <c r="K10" s="181">
        <v>102943</v>
      </c>
      <c r="L10" s="181">
        <v>102943</v>
      </c>
      <c r="M10" s="181">
        <v>102943</v>
      </c>
      <c r="N10" s="181">
        <v>102943</v>
      </c>
      <c r="O10" s="181">
        <f>Össz.önkor.mérleg.!F17</f>
        <v>1235320</v>
      </c>
      <c r="P10" s="32"/>
    </row>
    <row r="11" spans="1:33" s="30" customFormat="1" ht="18" customHeight="1" x14ac:dyDescent="0.25">
      <c r="A11" s="21" t="s">
        <v>518</v>
      </c>
      <c r="B11" s="30" t="s">
        <v>682</v>
      </c>
      <c r="C11" s="181">
        <f>O11/12</f>
        <v>29958</v>
      </c>
      <c r="D11" s="181">
        <v>29601</v>
      </c>
      <c r="E11" s="181">
        <v>29605</v>
      </c>
      <c r="F11" s="181">
        <v>29605</v>
      </c>
      <c r="G11" s="181">
        <v>29605</v>
      </c>
      <c r="H11" s="181">
        <v>29605</v>
      </c>
      <c r="I11" s="181">
        <v>29605</v>
      </c>
      <c r="J11" s="181">
        <v>29605</v>
      </c>
      <c r="K11" s="181">
        <v>29605</v>
      </c>
      <c r="L11" s="181">
        <v>29605</v>
      </c>
      <c r="M11" s="181">
        <v>29605</v>
      </c>
      <c r="N11" s="181">
        <v>29605</v>
      </c>
      <c r="O11" s="181">
        <f>Össz.önkor.mérleg.!F20</f>
        <v>359496</v>
      </c>
      <c r="P11" s="32"/>
    </row>
    <row r="12" spans="1:33" s="29" customFormat="1" ht="13.5" customHeight="1" x14ac:dyDescent="0.25">
      <c r="A12" s="21" t="s">
        <v>519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>
        <f t="shared" ref="O12:O18" si="0">SUM(C12:N12)</f>
        <v>0</v>
      </c>
      <c r="P12" s="32"/>
    </row>
    <row r="13" spans="1:33" s="29" customFormat="1" ht="15" customHeight="1" x14ac:dyDescent="0.25">
      <c r="A13" s="21" t="s">
        <v>520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>
        <f t="shared" si="0"/>
        <v>0</v>
      </c>
      <c r="P13" s="32"/>
    </row>
    <row r="14" spans="1:33" s="31" customFormat="1" ht="15.75" customHeight="1" x14ac:dyDescent="0.25">
      <c r="A14" s="21" t="s">
        <v>521</v>
      </c>
      <c r="B14" s="576" t="s">
        <v>657</v>
      </c>
      <c r="C14" s="577">
        <f>SUM(C8:C13)</f>
        <v>205509.58333333331</v>
      </c>
      <c r="D14" s="577">
        <f>SUM(D8:D12)</f>
        <v>200978</v>
      </c>
      <c r="E14" s="577">
        <f>SUM(E8:E12)</f>
        <v>200973</v>
      </c>
      <c r="F14" s="577">
        <f>SUM(F8:F13)</f>
        <v>200973</v>
      </c>
      <c r="G14" s="577">
        <f>SUM(G8:G13)</f>
        <v>200973</v>
      </c>
      <c r="H14" s="577">
        <f t="shared" ref="H14:N14" si="1">SUM(H8:H12)</f>
        <v>200973</v>
      </c>
      <c r="I14" s="577">
        <f t="shared" si="1"/>
        <v>200973</v>
      </c>
      <c r="J14" s="577">
        <f t="shared" si="1"/>
        <v>200973</v>
      </c>
      <c r="K14" s="577">
        <f t="shared" si="1"/>
        <v>200973</v>
      </c>
      <c r="L14" s="577">
        <f t="shared" si="1"/>
        <v>200973</v>
      </c>
      <c r="M14" s="577">
        <f t="shared" si="1"/>
        <v>200973</v>
      </c>
      <c r="N14" s="577">
        <f t="shared" si="1"/>
        <v>200973</v>
      </c>
      <c r="O14" s="578">
        <f>SUM(O8:O13)</f>
        <v>2466115</v>
      </c>
      <c r="P14" s="33"/>
    </row>
    <row r="15" spans="1:33" s="29" customFormat="1" ht="15.75" customHeight="1" x14ac:dyDescent="0.25">
      <c r="A15" s="21" t="s">
        <v>522</v>
      </c>
      <c r="B15" s="29" t="s">
        <v>683</v>
      </c>
      <c r="C15" s="181"/>
      <c r="D15" s="181"/>
      <c r="E15" s="181"/>
      <c r="F15" s="181"/>
      <c r="G15" s="579"/>
      <c r="H15" s="579"/>
      <c r="I15" s="579"/>
      <c r="J15" s="579"/>
      <c r="K15" s="579"/>
      <c r="L15" s="579"/>
      <c r="M15" s="579"/>
      <c r="N15" s="579"/>
      <c r="O15" s="183">
        <f>Össz.önkor.mérleg.!F24</f>
        <v>6740</v>
      </c>
      <c r="P15" s="32"/>
    </row>
    <row r="16" spans="1:33" s="29" customFormat="1" ht="15" customHeight="1" x14ac:dyDescent="0.25">
      <c r="A16" s="21" t="s">
        <v>564</v>
      </c>
      <c r="B16" s="29" t="s">
        <v>684</v>
      </c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3">
        <v>0</v>
      </c>
      <c r="P16" s="32"/>
    </row>
    <row r="17" spans="1:256" s="29" customFormat="1" ht="16.5" customHeight="1" x14ac:dyDescent="0.25">
      <c r="A17" s="21" t="s">
        <v>565</v>
      </c>
      <c r="B17" s="29" t="s">
        <v>599</v>
      </c>
      <c r="C17" s="181">
        <f>O17/12</f>
        <v>239.16666666666666</v>
      </c>
      <c r="D17" s="181">
        <v>241</v>
      </c>
      <c r="E17" s="181">
        <v>239</v>
      </c>
      <c r="F17" s="181">
        <v>239</v>
      </c>
      <c r="G17" s="181">
        <v>239</v>
      </c>
      <c r="H17" s="181">
        <v>239</v>
      </c>
      <c r="I17" s="181">
        <v>239</v>
      </c>
      <c r="J17" s="181">
        <v>239</v>
      </c>
      <c r="K17" s="181">
        <v>239</v>
      </c>
      <c r="L17" s="181">
        <v>239</v>
      </c>
      <c r="M17" s="181">
        <v>239</v>
      </c>
      <c r="N17" s="181">
        <v>239</v>
      </c>
      <c r="O17" s="183">
        <f>Össz.önkor.mérleg.!F30</f>
        <v>2870</v>
      </c>
      <c r="P17" s="32"/>
    </row>
    <row r="18" spans="1:256" s="30" customFormat="1" ht="15" customHeight="1" x14ac:dyDescent="0.25">
      <c r="A18" s="21" t="s">
        <v>566</v>
      </c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3">
        <f t="shared" si="0"/>
        <v>0</v>
      </c>
      <c r="P18" s="32"/>
    </row>
    <row r="19" spans="1:256" s="35" customFormat="1" ht="16.5" customHeight="1" x14ac:dyDescent="0.25">
      <c r="A19" s="21" t="s">
        <v>567</v>
      </c>
      <c r="B19" s="627" t="s">
        <v>658</v>
      </c>
      <c r="C19" s="628">
        <f>SUM(C15:C18)</f>
        <v>239.16666666666666</v>
      </c>
      <c r="D19" s="628">
        <f>SUM(D15:D18)</f>
        <v>241</v>
      </c>
      <c r="E19" s="628">
        <f>SUM(E15:E18)</f>
        <v>239</v>
      </c>
      <c r="F19" s="628">
        <f t="shared" ref="F19:M19" si="2">SUM(F15:F18)</f>
        <v>239</v>
      </c>
      <c r="G19" s="628">
        <f t="shared" si="2"/>
        <v>239</v>
      </c>
      <c r="H19" s="628">
        <f t="shared" si="2"/>
        <v>239</v>
      </c>
      <c r="I19" s="628">
        <f t="shared" si="2"/>
        <v>239</v>
      </c>
      <c r="J19" s="628">
        <f t="shared" si="2"/>
        <v>239</v>
      </c>
      <c r="K19" s="628">
        <f t="shared" si="2"/>
        <v>239</v>
      </c>
      <c r="L19" s="628">
        <f t="shared" si="2"/>
        <v>239</v>
      </c>
      <c r="M19" s="628">
        <f t="shared" si="2"/>
        <v>239</v>
      </c>
      <c r="N19" s="628">
        <f>SUM(N15:N18)</f>
        <v>239</v>
      </c>
      <c r="O19" s="629">
        <f>SUM(O15:O18)</f>
        <v>9610</v>
      </c>
      <c r="P19" s="34"/>
    </row>
    <row r="20" spans="1:256" s="31" customFormat="1" ht="16.5" customHeight="1" x14ac:dyDescent="0.25">
      <c r="A20" s="21" t="s">
        <v>568</v>
      </c>
      <c r="B20" s="35" t="s">
        <v>685</v>
      </c>
      <c r="C20" s="184"/>
      <c r="D20" s="184"/>
      <c r="E20" s="184"/>
      <c r="F20" s="184"/>
      <c r="G20" s="184"/>
      <c r="H20" s="182"/>
      <c r="I20" s="182"/>
      <c r="J20" s="182"/>
      <c r="K20" s="182"/>
      <c r="L20" s="182"/>
      <c r="M20" s="182"/>
      <c r="N20" s="182"/>
      <c r="O20" s="183">
        <f>SUM(C20:N20)</f>
        <v>0</v>
      </c>
      <c r="P20" s="33"/>
    </row>
    <row r="21" spans="1:256" s="29" customFormat="1" ht="15.75" customHeight="1" x14ac:dyDescent="0.25">
      <c r="A21" s="21" t="s">
        <v>569</v>
      </c>
      <c r="B21" s="30" t="s">
        <v>488</v>
      </c>
      <c r="C21" s="182">
        <f>O21/12</f>
        <v>216439.58333333334</v>
      </c>
      <c r="D21" s="182">
        <v>197609</v>
      </c>
      <c r="E21" s="182">
        <v>197615</v>
      </c>
      <c r="F21" s="182">
        <v>197615</v>
      </c>
      <c r="G21" s="182">
        <v>197615</v>
      </c>
      <c r="H21" s="182">
        <v>197615</v>
      </c>
      <c r="I21" s="182">
        <v>197615</v>
      </c>
      <c r="J21" s="182">
        <v>197615</v>
      </c>
      <c r="K21" s="182">
        <v>197615</v>
      </c>
      <c r="L21" s="182">
        <v>197615</v>
      </c>
      <c r="M21" s="182">
        <v>197615</v>
      </c>
      <c r="N21" s="182">
        <v>197615</v>
      </c>
      <c r="O21" s="183">
        <f>Össz.önkor.mérleg.!F53</f>
        <v>2597275</v>
      </c>
      <c r="P21" s="32"/>
    </row>
    <row r="22" spans="1:256" s="31" customFormat="1" ht="16.5" customHeight="1" x14ac:dyDescent="0.25">
      <c r="A22" s="21" t="s">
        <v>570</v>
      </c>
      <c r="B22" s="580" t="s">
        <v>659</v>
      </c>
      <c r="C22" s="581">
        <f t="shared" ref="C22:N22" si="3">C19+C14+C20+C21</f>
        <v>422188.33333333331</v>
      </c>
      <c r="D22" s="581">
        <f t="shared" si="3"/>
        <v>398828</v>
      </c>
      <c r="E22" s="581">
        <f t="shared" si="3"/>
        <v>398827</v>
      </c>
      <c r="F22" s="581">
        <f t="shared" si="3"/>
        <v>398827</v>
      </c>
      <c r="G22" s="581">
        <f t="shared" si="3"/>
        <v>398827</v>
      </c>
      <c r="H22" s="581">
        <f t="shared" si="3"/>
        <v>398827</v>
      </c>
      <c r="I22" s="581">
        <f t="shared" si="3"/>
        <v>398827</v>
      </c>
      <c r="J22" s="581">
        <f t="shared" si="3"/>
        <v>398827</v>
      </c>
      <c r="K22" s="581">
        <f t="shared" si="3"/>
        <v>398827</v>
      </c>
      <c r="L22" s="581">
        <f t="shared" si="3"/>
        <v>398827</v>
      </c>
      <c r="M22" s="581">
        <f t="shared" si="3"/>
        <v>398827</v>
      </c>
      <c r="N22" s="581">
        <f t="shared" si="3"/>
        <v>398827</v>
      </c>
      <c r="O22" s="582">
        <f>O14+O21+O19</f>
        <v>5073000</v>
      </c>
      <c r="P22" s="33"/>
    </row>
    <row r="23" spans="1:256" s="15" customFormat="1" ht="15" customHeight="1" x14ac:dyDescent="0.25">
      <c r="A23" s="21" t="s">
        <v>571</v>
      </c>
      <c r="B23" s="31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</row>
    <row r="24" spans="1:256" s="31" customFormat="1" ht="12.75" customHeight="1" x14ac:dyDescent="0.25">
      <c r="A24" s="21" t="s">
        <v>573</v>
      </c>
      <c r="B24" s="31" t="s">
        <v>65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</row>
    <row r="25" spans="1:256" s="29" customFormat="1" ht="15.75" customHeight="1" x14ac:dyDescent="0.25">
      <c r="A25" s="21" t="s">
        <v>574</v>
      </c>
      <c r="B25" s="29" t="s">
        <v>489</v>
      </c>
      <c r="C25" s="181">
        <f t="shared" ref="C25:C32" si="4">O25/12</f>
        <v>76364.5</v>
      </c>
      <c r="D25" s="181">
        <v>75820</v>
      </c>
      <c r="E25" s="181">
        <v>75817</v>
      </c>
      <c r="F25" s="181">
        <v>75817</v>
      </c>
      <c r="G25" s="181">
        <v>75817</v>
      </c>
      <c r="H25" s="181">
        <v>75817</v>
      </c>
      <c r="I25" s="181">
        <v>75817</v>
      </c>
      <c r="J25" s="181">
        <v>75817</v>
      </c>
      <c r="K25" s="181">
        <v>75817</v>
      </c>
      <c r="L25" s="181">
        <v>75817</v>
      </c>
      <c r="M25" s="181">
        <v>75817</v>
      </c>
      <c r="N25" s="181">
        <v>75817</v>
      </c>
      <c r="O25" s="183">
        <f>Össz.önkor.mérleg.!O10</f>
        <v>916374</v>
      </c>
      <c r="P25" s="32"/>
    </row>
    <row r="26" spans="1:256" s="29" customFormat="1" ht="17.25" customHeight="1" x14ac:dyDescent="0.25">
      <c r="A26" s="21" t="s">
        <v>575</v>
      </c>
      <c r="B26" s="29" t="s">
        <v>490</v>
      </c>
      <c r="C26" s="181">
        <f t="shared" si="4"/>
        <v>17561.193333333333</v>
      </c>
      <c r="D26" s="181">
        <v>17473</v>
      </c>
      <c r="E26" s="181">
        <v>17479</v>
      </c>
      <c r="F26" s="181">
        <v>17479</v>
      </c>
      <c r="G26" s="181">
        <v>17479</v>
      </c>
      <c r="H26" s="181">
        <v>17479</v>
      </c>
      <c r="I26" s="181">
        <v>17479</v>
      </c>
      <c r="J26" s="181">
        <v>17479</v>
      </c>
      <c r="K26" s="181">
        <v>17479</v>
      </c>
      <c r="L26" s="181">
        <v>17479</v>
      </c>
      <c r="M26" s="181">
        <v>17479</v>
      </c>
      <c r="N26" s="181">
        <v>17479</v>
      </c>
      <c r="O26" s="183">
        <f>Össz.önkor.mérleg.!O11</f>
        <v>210734.32</v>
      </c>
      <c r="P26" s="32"/>
    </row>
    <row r="27" spans="1:256" s="29" customFormat="1" ht="13.5" customHeight="1" x14ac:dyDescent="0.25">
      <c r="A27" s="21" t="s">
        <v>576</v>
      </c>
      <c r="B27" s="29" t="s">
        <v>491</v>
      </c>
      <c r="C27" s="181">
        <f t="shared" si="4"/>
        <v>87757.75</v>
      </c>
      <c r="D27" s="181">
        <v>78841</v>
      </c>
      <c r="E27" s="181">
        <v>78839</v>
      </c>
      <c r="F27" s="181">
        <v>78839</v>
      </c>
      <c r="G27" s="181">
        <v>78839</v>
      </c>
      <c r="H27" s="181">
        <v>78839</v>
      </c>
      <c r="I27" s="181">
        <v>78839</v>
      </c>
      <c r="J27" s="181">
        <v>78839</v>
      </c>
      <c r="K27" s="181">
        <v>78839</v>
      </c>
      <c r="L27" s="181">
        <v>78839</v>
      </c>
      <c r="M27" s="181">
        <v>78839</v>
      </c>
      <c r="N27" s="181">
        <v>78839</v>
      </c>
      <c r="O27" s="183">
        <f>Össz.önkor.mérleg.!O12</f>
        <v>1053093</v>
      </c>
      <c r="P27" s="32"/>
    </row>
    <row r="28" spans="1:256" s="29" customFormat="1" ht="15" customHeight="1" x14ac:dyDescent="0.25">
      <c r="A28" s="21" t="s">
        <v>577</v>
      </c>
      <c r="B28" s="29" t="s">
        <v>660</v>
      </c>
      <c r="C28" s="181">
        <f t="shared" si="4"/>
        <v>1175</v>
      </c>
      <c r="D28" s="181">
        <v>1175</v>
      </c>
      <c r="E28" s="181">
        <v>1175</v>
      </c>
      <c r="F28" s="181">
        <v>1175</v>
      </c>
      <c r="G28" s="181">
        <v>1175</v>
      </c>
      <c r="H28" s="181">
        <v>1175</v>
      </c>
      <c r="I28" s="181">
        <v>1175</v>
      </c>
      <c r="J28" s="181">
        <v>1175</v>
      </c>
      <c r="K28" s="181">
        <v>1175</v>
      </c>
      <c r="L28" s="181">
        <v>1175</v>
      </c>
      <c r="M28" s="181">
        <v>1175</v>
      </c>
      <c r="N28" s="181">
        <v>1175</v>
      </c>
      <c r="O28" s="183">
        <f>Össz.önkor.mérleg.!O14</f>
        <v>14100</v>
      </c>
      <c r="P28" s="32"/>
      <c r="IV28" s="32"/>
    </row>
    <row r="29" spans="1:256" s="29" customFormat="1" ht="15" customHeight="1" x14ac:dyDescent="0.25">
      <c r="A29" s="21" t="s">
        <v>578</v>
      </c>
      <c r="B29" s="29" t="s">
        <v>282</v>
      </c>
      <c r="C29" s="181">
        <v>38</v>
      </c>
      <c r="D29" s="181">
        <v>33</v>
      </c>
      <c r="E29" s="181">
        <v>38</v>
      </c>
      <c r="F29" s="181">
        <v>38</v>
      </c>
      <c r="G29" s="181">
        <v>38</v>
      </c>
      <c r="H29" s="181">
        <v>38</v>
      </c>
      <c r="I29" s="181">
        <v>38</v>
      </c>
      <c r="J29" s="181">
        <v>38</v>
      </c>
      <c r="K29" s="181">
        <v>38</v>
      </c>
      <c r="L29" s="181">
        <v>38</v>
      </c>
      <c r="M29" s="181">
        <v>38</v>
      </c>
      <c r="N29" s="181">
        <v>38</v>
      </c>
      <c r="O29" s="183">
        <f>Össz.önkor.mérleg.!O19</f>
        <v>451</v>
      </c>
      <c r="P29" s="32"/>
    </row>
    <row r="30" spans="1:256" s="29" customFormat="1" ht="12.75" customHeight="1" x14ac:dyDescent="0.25">
      <c r="A30" s="21" t="s">
        <v>579</v>
      </c>
      <c r="B30" s="29" t="s">
        <v>492</v>
      </c>
      <c r="C30" s="181">
        <v>3993</v>
      </c>
      <c r="D30" s="181">
        <v>3989</v>
      </c>
      <c r="E30" s="181">
        <v>3993</v>
      </c>
      <c r="F30" s="181">
        <v>3993</v>
      </c>
      <c r="G30" s="181">
        <v>3993</v>
      </c>
      <c r="H30" s="181">
        <v>3993</v>
      </c>
      <c r="I30" s="181">
        <v>3993</v>
      </c>
      <c r="J30" s="181">
        <v>3993</v>
      </c>
      <c r="K30" s="181">
        <v>3993</v>
      </c>
      <c r="L30" s="181">
        <v>3993</v>
      </c>
      <c r="M30" s="181">
        <v>3993</v>
      </c>
      <c r="N30" s="181">
        <v>3993</v>
      </c>
      <c r="O30" s="183">
        <f>Össz.önkor.mérleg.!O17</f>
        <v>51373</v>
      </c>
      <c r="P30" s="32"/>
    </row>
    <row r="31" spans="1:256" s="29" customFormat="1" ht="15.75" customHeight="1" x14ac:dyDescent="0.25">
      <c r="A31" s="21" t="s">
        <v>580</v>
      </c>
      <c r="B31" s="29" t="s">
        <v>493</v>
      </c>
      <c r="C31" s="181">
        <f t="shared" si="4"/>
        <v>23924.416666666668</v>
      </c>
      <c r="D31" s="181">
        <v>22360</v>
      </c>
      <c r="E31" s="181">
        <v>22360</v>
      </c>
      <c r="F31" s="181">
        <v>22360</v>
      </c>
      <c r="G31" s="181">
        <v>22360</v>
      </c>
      <c r="H31" s="181">
        <v>22360</v>
      </c>
      <c r="I31" s="181">
        <v>22360</v>
      </c>
      <c r="J31" s="181">
        <v>22360</v>
      </c>
      <c r="K31" s="181">
        <v>22360</v>
      </c>
      <c r="L31" s="181">
        <v>22360</v>
      </c>
      <c r="M31" s="181">
        <v>22360</v>
      </c>
      <c r="N31" s="181">
        <v>22360</v>
      </c>
      <c r="O31" s="183">
        <f>Össz.önkor.mérleg.!O18</f>
        <v>287093</v>
      </c>
      <c r="P31" s="32"/>
    </row>
    <row r="32" spans="1:256" s="29" customFormat="1" ht="15" customHeight="1" x14ac:dyDescent="0.25">
      <c r="A32" s="21" t="s">
        <v>600</v>
      </c>
      <c r="B32" s="29" t="s">
        <v>689</v>
      </c>
      <c r="C32" s="181">
        <f t="shared" si="4"/>
        <v>5688.666666666667</v>
      </c>
      <c r="D32" s="181">
        <v>7087</v>
      </c>
      <c r="E32" s="181">
        <v>7091</v>
      </c>
      <c r="F32" s="181">
        <v>7091</v>
      </c>
      <c r="G32" s="181">
        <v>7091</v>
      </c>
      <c r="H32" s="181">
        <v>7091</v>
      </c>
      <c r="I32" s="181">
        <v>7091</v>
      </c>
      <c r="J32" s="181">
        <v>7091</v>
      </c>
      <c r="K32" s="181">
        <v>7091</v>
      </c>
      <c r="L32" s="181">
        <v>7091</v>
      </c>
      <c r="M32" s="181">
        <v>7091</v>
      </c>
      <c r="N32" s="181">
        <v>7091</v>
      </c>
      <c r="O32" s="183">
        <f>Össz.önkor.mérleg.!O20+Össz.önkor.mérleg.!O21</f>
        <v>68264</v>
      </c>
      <c r="P32" s="32"/>
    </row>
    <row r="33" spans="1:16" s="30" customFormat="1" ht="15.75" customHeight="1" x14ac:dyDescent="0.25">
      <c r="A33" s="21" t="s">
        <v>601</v>
      </c>
      <c r="B33" s="630" t="s">
        <v>661</v>
      </c>
      <c r="C33" s="628">
        <f>SUM(C25:C32)</f>
        <v>216502.52666666664</v>
      </c>
      <c r="D33" s="628">
        <f>SUM(D25:D32)</f>
        <v>206778</v>
      </c>
      <c r="E33" s="628">
        <f t="shared" ref="E33:N33" si="5">SUM(E25:E32)</f>
        <v>206792</v>
      </c>
      <c r="F33" s="628">
        <f t="shared" si="5"/>
        <v>206792</v>
      </c>
      <c r="G33" s="628">
        <f t="shared" si="5"/>
        <v>206792</v>
      </c>
      <c r="H33" s="628">
        <f t="shared" si="5"/>
        <v>206792</v>
      </c>
      <c r="I33" s="628">
        <f t="shared" si="5"/>
        <v>206792</v>
      </c>
      <c r="J33" s="628">
        <f t="shared" si="5"/>
        <v>206792</v>
      </c>
      <c r="K33" s="628">
        <f t="shared" si="5"/>
        <v>206792</v>
      </c>
      <c r="L33" s="628">
        <f t="shared" si="5"/>
        <v>206792</v>
      </c>
      <c r="M33" s="628">
        <f t="shared" si="5"/>
        <v>206792</v>
      </c>
      <c r="N33" s="628">
        <f t="shared" si="5"/>
        <v>206792</v>
      </c>
      <c r="O33" s="629">
        <f>SUM(O25:O32)</f>
        <v>2601482.3200000003</v>
      </c>
      <c r="P33" s="431"/>
    </row>
    <row r="34" spans="1:16" s="30" customFormat="1" ht="15" customHeight="1" x14ac:dyDescent="0.25">
      <c r="A34" s="21" t="s">
        <v>602</v>
      </c>
      <c r="B34" s="30" t="s">
        <v>662</v>
      </c>
      <c r="C34" s="182">
        <f t="shared" ref="C34:C39" si="6">O34/12</f>
        <v>181032.25</v>
      </c>
      <c r="D34" s="182">
        <v>167754</v>
      </c>
      <c r="E34" s="182">
        <v>167757</v>
      </c>
      <c r="F34" s="182">
        <v>167757</v>
      </c>
      <c r="G34" s="182">
        <v>167757</v>
      </c>
      <c r="H34" s="182">
        <v>167757</v>
      </c>
      <c r="I34" s="182">
        <v>167757</v>
      </c>
      <c r="J34" s="182">
        <v>167757</v>
      </c>
      <c r="K34" s="182">
        <v>167757</v>
      </c>
      <c r="L34" s="182">
        <v>167757</v>
      </c>
      <c r="M34" s="182">
        <v>167757</v>
      </c>
      <c r="N34" s="182">
        <v>167757</v>
      </c>
      <c r="O34" s="184">
        <f>Össz.önkor.mérleg.!O27</f>
        <v>2172387</v>
      </c>
      <c r="P34" s="431"/>
    </row>
    <row r="35" spans="1:16" s="30" customFormat="1" ht="15" customHeight="1" x14ac:dyDescent="0.25">
      <c r="A35" s="21" t="s">
        <v>603</v>
      </c>
      <c r="B35" s="30" t="s">
        <v>511</v>
      </c>
      <c r="C35" s="182">
        <f t="shared" si="6"/>
        <v>833.33333333333337</v>
      </c>
      <c r="D35" s="182">
        <v>837</v>
      </c>
      <c r="E35" s="182">
        <v>833</v>
      </c>
      <c r="F35" s="182">
        <v>833</v>
      </c>
      <c r="G35" s="182">
        <v>833</v>
      </c>
      <c r="H35" s="182">
        <v>833</v>
      </c>
      <c r="I35" s="182">
        <v>833</v>
      </c>
      <c r="J35" s="182">
        <v>833</v>
      </c>
      <c r="K35" s="182">
        <v>833</v>
      </c>
      <c r="L35" s="182">
        <v>833</v>
      </c>
      <c r="M35" s="182">
        <v>833</v>
      </c>
      <c r="N35" s="182">
        <v>833</v>
      </c>
      <c r="O35" s="184">
        <f>Össz.önkor.mérleg.!O28</f>
        <v>10000</v>
      </c>
      <c r="P35" s="431"/>
    </row>
    <row r="36" spans="1:16" s="30" customFormat="1" ht="15.75" customHeight="1" x14ac:dyDescent="0.25">
      <c r="A36" s="21" t="s">
        <v>604</v>
      </c>
      <c r="B36" s="30" t="s">
        <v>494</v>
      </c>
      <c r="C36" s="182">
        <f t="shared" si="6"/>
        <v>0</v>
      </c>
      <c r="D36" s="182">
        <v>0</v>
      </c>
      <c r="E36" s="182">
        <v>0</v>
      </c>
      <c r="F36" s="182">
        <v>0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82">
        <v>0</v>
      </c>
      <c r="M36" s="182">
        <v>0</v>
      </c>
      <c r="N36" s="182">
        <v>0</v>
      </c>
      <c r="O36" s="184">
        <f>Össz.önkor.mérleg.!O29</f>
        <v>0</v>
      </c>
    </row>
    <row r="37" spans="1:16" s="30" customFormat="1" ht="15.75" customHeight="1" x14ac:dyDescent="0.25">
      <c r="A37" s="21" t="s">
        <v>605</v>
      </c>
      <c r="B37" s="29" t="s">
        <v>687</v>
      </c>
      <c r="C37" s="182">
        <f t="shared" si="6"/>
        <v>0</v>
      </c>
      <c r="D37" s="182">
        <v>0</v>
      </c>
      <c r="E37" s="182">
        <v>0</v>
      </c>
      <c r="F37" s="182">
        <v>0</v>
      </c>
      <c r="G37" s="182">
        <v>0</v>
      </c>
      <c r="H37" s="182">
        <v>0</v>
      </c>
      <c r="I37" s="182">
        <v>0</v>
      </c>
      <c r="J37" s="182">
        <v>0</v>
      </c>
      <c r="K37" s="182">
        <v>0</v>
      </c>
      <c r="L37" s="182">
        <v>0</v>
      </c>
      <c r="M37" s="182">
        <v>0</v>
      </c>
      <c r="N37" s="182">
        <v>0</v>
      </c>
      <c r="O37" s="184">
        <f>Össz.önkor.mérleg.!O30</f>
        <v>0</v>
      </c>
    </row>
    <row r="38" spans="1:16" s="30" customFormat="1" ht="16.5" customHeight="1" x14ac:dyDescent="0.25">
      <c r="A38" s="21" t="s">
        <v>606</v>
      </c>
      <c r="B38" s="29" t="s">
        <v>688</v>
      </c>
      <c r="C38" s="182">
        <f t="shared" si="6"/>
        <v>5756</v>
      </c>
      <c r="D38" s="182">
        <v>8272</v>
      </c>
      <c r="E38" s="182">
        <v>8276</v>
      </c>
      <c r="F38" s="182">
        <v>8276</v>
      </c>
      <c r="G38" s="182">
        <v>8276</v>
      </c>
      <c r="H38" s="182">
        <v>8276</v>
      </c>
      <c r="I38" s="182">
        <v>8276</v>
      </c>
      <c r="J38" s="182">
        <v>8276</v>
      </c>
      <c r="K38" s="182">
        <v>8276</v>
      </c>
      <c r="L38" s="182">
        <v>8276</v>
      </c>
      <c r="M38" s="182">
        <v>8276</v>
      </c>
      <c r="N38" s="182">
        <v>8276</v>
      </c>
      <c r="O38" s="184">
        <f>Össz.önkor.mérleg.!O31</f>
        <v>69072</v>
      </c>
      <c r="P38" s="431"/>
    </row>
    <row r="39" spans="1:16" s="30" customFormat="1" ht="15" customHeight="1" x14ac:dyDescent="0.25">
      <c r="A39" s="21" t="s">
        <v>607</v>
      </c>
      <c r="B39" s="29" t="s">
        <v>690</v>
      </c>
      <c r="C39" s="182">
        <f t="shared" si="6"/>
        <v>28657.666666666668</v>
      </c>
      <c r="D39" s="182">
        <v>12915</v>
      </c>
      <c r="E39" s="182">
        <v>12913</v>
      </c>
      <c r="F39" s="182">
        <v>12913</v>
      </c>
      <c r="G39" s="182">
        <v>12913</v>
      </c>
      <c r="H39" s="182">
        <v>12913</v>
      </c>
      <c r="I39" s="182">
        <v>12913</v>
      </c>
      <c r="J39" s="182">
        <v>12913</v>
      </c>
      <c r="K39" s="182">
        <v>12913</v>
      </c>
      <c r="L39" s="182">
        <v>12913</v>
      </c>
      <c r="M39" s="182">
        <v>12913</v>
      </c>
      <c r="N39" s="182">
        <v>12913</v>
      </c>
      <c r="O39" s="184">
        <f>Össz.önkor.mérleg.!O32</f>
        <v>343892</v>
      </c>
      <c r="P39" s="431"/>
    </row>
    <row r="40" spans="1:16" s="35" customFormat="1" ht="15" customHeight="1" x14ac:dyDescent="0.25">
      <c r="A40" s="21" t="s">
        <v>608</v>
      </c>
      <c r="B40" s="576" t="s">
        <v>691</v>
      </c>
      <c r="C40" s="577">
        <f t="shared" ref="C40:O40" si="7">SUM(C34:C39)</f>
        <v>216279.25</v>
      </c>
      <c r="D40" s="577">
        <f t="shared" si="7"/>
        <v>189778</v>
      </c>
      <c r="E40" s="577">
        <f t="shared" si="7"/>
        <v>189779</v>
      </c>
      <c r="F40" s="577">
        <f t="shared" si="7"/>
        <v>189779</v>
      </c>
      <c r="G40" s="577">
        <f t="shared" si="7"/>
        <v>189779</v>
      </c>
      <c r="H40" s="577">
        <f t="shared" si="7"/>
        <v>189779</v>
      </c>
      <c r="I40" s="577">
        <f t="shared" si="7"/>
        <v>189779</v>
      </c>
      <c r="J40" s="577">
        <f t="shared" si="7"/>
        <v>189779</v>
      </c>
      <c r="K40" s="577">
        <f t="shared" si="7"/>
        <v>189779</v>
      </c>
      <c r="L40" s="577">
        <f t="shared" si="7"/>
        <v>189779</v>
      </c>
      <c r="M40" s="577">
        <f t="shared" si="7"/>
        <v>189779</v>
      </c>
      <c r="N40" s="577">
        <f t="shared" si="7"/>
        <v>189779</v>
      </c>
      <c r="O40" s="577">
        <f t="shared" si="7"/>
        <v>2595351</v>
      </c>
      <c r="P40" s="34"/>
    </row>
    <row r="41" spans="1:16" s="35" customFormat="1" ht="15" customHeight="1" x14ac:dyDescent="0.25">
      <c r="A41" s="21" t="s">
        <v>663</v>
      </c>
      <c r="B41" s="624" t="s">
        <v>1158</v>
      </c>
      <c r="C41" s="625">
        <f>O41/12</f>
        <v>2620.3333333333335</v>
      </c>
      <c r="D41" s="625">
        <v>2261</v>
      </c>
      <c r="E41" s="625">
        <v>2257</v>
      </c>
      <c r="F41" s="625">
        <v>2257</v>
      </c>
      <c r="G41" s="625">
        <v>2257</v>
      </c>
      <c r="H41" s="625">
        <v>2257</v>
      </c>
      <c r="I41" s="625">
        <v>2257</v>
      </c>
      <c r="J41" s="625">
        <v>2257</v>
      </c>
      <c r="K41" s="625">
        <v>2257</v>
      </c>
      <c r="L41" s="625">
        <v>2257</v>
      </c>
      <c r="M41" s="625">
        <v>2257</v>
      </c>
      <c r="N41" s="625">
        <v>2257</v>
      </c>
      <c r="O41" s="623">
        <f>Össz.önkor.mérleg.!O46</f>
        <v>31444</v>
      </c>
      <c r="P41" s="34"/>
    </row>
    <row r="42" spans="1:16" s="29" customFormat="1" ht="15.75" customHeight="1" x14ac:dyDescent="0.25">
      <c r="A42" s="21" t="s">
        <v>664</v>
      </c>
      <c r="B42" s="622" t="s">
        <v>1157</v>
      </c>
      <c r="C42" s="181">
        <f>SUM(C41)</f>
        <v>2620.3333333333335</v>
      </c>
      <c r="D42" s="181">
        <f>SUM(D41)</f>
        <v>2261</v>
      </c>
      <c r="E42" s="181">
        <f t="shared" ref="E42:N42" si="8">SUM(E41)</f>
        <v>2257</v>
      </c>
      <c r="F42" s="181">
        <f t="shared" si="8"/>
        <v>2257</v>
      </c>
      <c r="G42" s="181">
        <f t="shared" si="8"/>
        <v>2257</v>
      </c>
      <c r="H42" s="181">
        <f t="shared" si="8"/>
        <v>2257</v>
      </c>
      <c r="I42" s="181">
        <f t="shared" si="8"/>
        <v>2257</v>
      </c>
      <c r="J42" s="181">
        <f t="shared" si="8"/>
        <v>2257</v>
      </c>
      <c r="K42" s="181">
        <f t="shared" si="8"/>
        <v>2257</v>
      </c>
      <c r="L42" s="181">
        <f t="shared" si="8"/>
        <v>2257</v>
      </c>
      <c r="M42" s="181">
        <f t="shared" si="8"/>
        <v>2257</v>
      </c>
      <c r="N42" s="181">
        <f t="shared" si="8"/>
        <v>2257</v>
      </c>
      <c r="O42" s="183">
        <f>SUM(C42:N42)</f>
        <v>27451.333333333336</v>
      </c>
    </row>
    <row r="43" spans="1:16" s="31" customFormat="1" ht="16.5" customHeight="1" x14ac:dyDescent="0.25">
      <c r="A43" s="21" t="s">
        <v>665</v>
      </c>
      <c r="B43" s="580" t="s">
        <v>694</v>
      </c>
      <c r="C43" s="581">
        <f t="shared" ref="C43:N43" si="9">C40+C33+C42</f>
        <v>435402.10999999993</v>
      </c>
      <c r="D43" s="581">
        <f t="shared" si="9"/>
        <v>398817</v>
      </c>
      <c r="E43" s="581">
        <f t="shared" si="9"/>
        <v>398828</v>
      </c>
      <c r="F43" s="581">
        <f t="shared" si="9"/>
        <v>398828</v>
      </c>
      <c r="G43" s="581">
        <f t="shared" si="9"/>
        <v>398828</v>
      </c>
      <c r="H43" s="581">
        <f t="shared" si="9"/>
        <v>398828</v>
      </c>
      <c r="I43" s="581">
        <f t="shared" si="9"/>
        <v>398828</v>
      </c>
      <c r="J43" s="581">
        <f t="shared" si="9"/>
        <v>398828</v>
      </c>
      <c r="K43" s="581">
        <f t="shared" si="9"/>
        <v>398828</v>
      </c>
      <c r="L43" s="581">
        <f t="shared" si="9"/>
        <v>398828</v>
      </c>
      <c r="M43" s="581">
        <f t="shared" si="9"/>
        <v>398828</v>
      </c>
      <c r="N43" s="581">
        <f t="shared" si="9"/>
        <v>398828</v>
      </c>
      <c r="O43" s="582">
        <f>SUM(C43:N43)</f>
        <v>4822499.1099999994</v>
      </c>
      <c r="P43" s="33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:IP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L115" sqref="L115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2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654" t="s">
        <v>1213</v>
      </c>
      <c r="B1" s="1654"/>
      <c r="C1" s="1654"/>
      <c r="D1" s="1654"/>
      <c r="E1" s="1654"/>
      <c r="F1" s="1654"/>
      <c r="G1" s="1654"/>
      <c r="H1" s="1654"/>
      <c r="I1" s="1654"/>
      <c r="J1" s="1654"/>
      <c r="K1" s="1654"/>
      <c r="L1" s="1654"/>
      <c r="M1" s="1654"/>
      <c r="N1" s="1654"/>
      <c r="O1" s="1654"/>
      <c r="P1" s="1654"/>
      <c r="Q1" s="1654"/>
      <c r="R1" s="1654"/>
      <c r="S1" s="1654"/>
      <c r="T1" s="1654"/>
      <c r="U1" s="1654"/>
      <c r="V1" s="1654"/>
      <c r="W1" s="1654"/>
      <c r="X1" s="1654"/>
      <c r="Y1" s="1654"/>
      <c r="Z1" s="1654"/>
      <c r="AA1" s="1654"/>
      <c r="AB1" s="1654"/>
      <c r="AC1" s="1654"/>
      <c r="AD1" s="1654"/>
      <c r="AE1" s="1654"/>
      <c r="AF1" s="1654"/>
    </row>
    <row r="2" spans="1:33" ht="15.75" customHeight="1" x14ac:dyDescent="0.25">
      <c r="A2" s="1655" t="s">
        <v>54</v>
      </c>
      <c r="B2" s="1655"/>
      <c r="C2" s="1655"/>
      <c r="D2" s="1655"/>
      <c r="E2" s="1655"/>
      <c r="F2" s="1655"/>
      <c r="G2" s="1655"/>
      <c r="H2" s="1655"/>
      <c r="I2" s="1655"/>
      <c r="J2" s="1655"/>
      <c r="K2" s="1655"/>
      <c r="L2" s="1655"/>
      <c r="M2" s="1655"/>
      <c r="N2" s="1655"/>
      <c r="O2" s="1655"/>
      <c r="P2" s="1655"/>
      <c r="Q2" s="1655"/>
      <c r="R2" s="1655"/>
      <c r="S2" s="1655"/>
      <c r="T2" s="1655"/>
      <c r="U2" s="1655"/>
      <c r="V2" s="1655"/>
      <c r="W2" s="1655"/>
      <c r="X2" s="1655"/>
      <c r="Y2" s="1655"/>
      <c r="Z2" s="1655"/>
      <c r="AA2" s="1655"/>
      <c r="AB2" s="1655"/>
      <c r="AC2" s="1655"/>
      <c r="AD2" s="1655"/>
      <c r="AE2" s="1655"/>
      <c r="AF2" s="1655"/>
    </row>
    <row r="3" spans="1:33" ht="15.75" customHeight="1" x14ac:dyDescent="0.25">
      <c r="A3" s="1655" t="s">
        <v>1126</v>
      </c>
      <c r="B3" s="1655"/>
      <c r="C3" s="1655"/>
      <c r="D3" s="1655"/>
      <c r="E3" s="1655"/>
      <c r="F3" s="1655"/>
      <c r="G3" s="1655"/>
      <c r="H3" s="1655"/>
      <c r="I3" s="1655"/>
      <c r="J3" s="1655"/>
      <c r="K3" s="1655"/>
      <c r="L3" s="1655"/>
      <c r="M3" s="1655"/>
      <c r="N3" s="1655"/>
      <c r="O3" s="1655"/>
      <c r="P3" s="1655"/>
      <c r="Q3" s="1655"/>
      <c r="R3" s="1655"/>
      <c r="S3" s="1655"/>
      <c r="T3" s="1655"/>
      <c r="U3" s="1655"/>
      <c r="V3" s="1655"/>
      <c r="W3" s="1655"/>
      <c r="X3" s="1655"/>
      <c r="Y3" s="1655"/>
      <c r="Z3" s="1655"/>
      <c r="AA3" s="1655"/>
      <c r="AB3" s="1655"/>
      <c r="AC3" s="1655"/>
      <c r="AD3" s="1655"/>
      <c r="AE3" s="1655"/>
      <c r="AF3" s="1655"/>
    </row>
    <row r="4" spans="1:33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 t="s">
        <v>695</v>
      </c>
    </row>
    <row r="5" spans="1:33" ht="27.75" customHeight="1" x14ac:dyDescent="0.25">
      <c r="A5" s="1656" t="s">
        <v>70</v>
      </c>
      <c r="B5" s="39" t="s">
        <v>57</v>
      </c>
      <c r="C5" s="1657" t="s">
        <v>58</v>
      </c>
      <c r="D5" s="1657"/>
      <c r="E5" s="1657"/>
      <c r="F5" s="1657" t="s">
        <v>59</v>
      </c>
      <c r="G5" s="1657"/>
      <c r="H5" s="1657"/>
      <c r="I5" s="1657"/>
      <c r="J5" s="1657" t="s">
        <v>60</v>
      </c>
      <c r="K5" s="1657"/>
      <c r="L5" s="1657"/>
      <c r="M5" s="1657"/>
      <c r="N5" s="1658" t="s">
        <v>498</v>
      </c>
      <c r="O5" s="1658"/>
      <c r="P5" s="1657" t="s">
        <v>499</v>
      </c>
      <c r="Q5" s="1657"/>
      <c r="R5" s="1657" t="s">
        <v>500</v>
      </c>
      <c r="S5" s="1657"/>
      <c r="T5" s="1659" t="s">
        <v>628</v>
      </c>
      <c r="U5" s="1659"/>
      <c r="V5" s="1659"/>
      <c r="W5" s="1659"/>
      <c r="X5" s="1657" t="s">
        <v>639</v>
      </c>
      <c r="Y5" s="1657"/>
      <c r="Z5" s="1657"/>
      <c r="AA5" s="1657"/>
      <c r="AB5" s="1657" t="s">
        <v>640</v>
      </c>
      <c r="AC5" s="1657"/>
      <c r="AD5" s="1657"/>
      <c r="AE5" s="1657"/>
      <c r="AF5" s="1657"/>
    </row>
    <row r="6" spans="1:33" s="4" customFormat="1" ht="30.75" customHeight="1" x14ac:dyDescent="0.2">
      <c r="A6" s="1656"/>
      <c r="B6" s="1615" t="s">
        <v>696</v>
      </c>
      <c r="C6" s="1660" t="s">
        <v>697</v>
      </c>
      <c r="D6" s="1660"/>
      <c r="E6" s="1660"/>
      <c r="F6" s="1660"/>
      <c r="G6" s="1660"/>
      <c r="H6" s="1660"/>
      <c r="I6" s="1660"/>
      <c r="J6" s="1660" t="s">
        <v>698</v>
      </c>
      <c r="K6" s="1660"/>
      <c r="L6" s="1660"/>
      <c r="M6" s="1660"/>
      <c r="N6" s="1660"/>
      <c r="O6" s="1660"/>
      <c r="P6" s="1661" t="s">
        <v>699</v>
      </c>
      <c r="Q6" s="1661"/>
      <c r="R6" s="1661"/>
      <c r="S6" s="1661"/>
      <c r="T6" s="1661" t="s">
        <v>563</v>
      </c>
      <c r="U6" s="1661"/>
      <c r="V6" s="1661"/>
      <c r="W6" s="1661"/>
      <c r="X6" s="1661"/>
      <c r="Y6" s="1661"/>
      <c r="Z6" s="1661"/>
      <c r="AA6" s="1661"/>
      <c r="AB6" s="1472" t="s">
        <v>700</v>
      </c>
      <c r="AC6" s="1472"/>
      <c r="AD6" s="1472"/>
      <c r="AE6" s="1472"/>
      <c r="AF6" s="1472"/>
    </row>
    <row r="7" spans="1:33" s="4" customFormat="1" ht="40.5" customHeight="1" x14ac:dyDescent="0.2">
      <c r="A7" s="1656"/>
      <c r="B7" s="1615"/>
      <c r="C7" s="1662" t="s">
        <v>701</v>
      </c>
      <c r="D7" s="1662"/>
      <c r="E7" s="1662"/>
      <c r="F7" s="1666" t="s">
        <v>702</v>
      </c>
      <c r="G7" s="1666"/>
      <c r="H7" s="1666"/>
      <c r="I7" s="1666"/>
      <c r="J7" s="1662" t="s">
        <v>703</v>
      </c>
      <c r="K7" s="1662"/>
      <c r="L7" s="1662"/>
      <c r="M7" s="1662"/>
      <c r="N7" s="1662" t="s">
        <v>702</v>
      </c>
      <c r="O7" s="1662"/>
      <c r="P7" s="1663" t="s">
        <v>703</v>
      </c>
      <c r="Q7" s="1663"/>
      <c r="R7" s="1662" t="s">
        <v>702</v>
      </c>
      <c r="S7" s="1662"/>
      <c r="T7" s="1663" t="s">
        <v>703</v>
      </c>
      <c r="U7" s="1663"/>
      <c r="V7" s="1663"/>
      <c r="W7" s="1663"/>
      <c r="X7" s="1663" t="s">
        <v>704</v>
      </c>
      <c r="Y7" s="1663"/>
      <c r="Z7" s="1663"/>
      <c r="AA7" s="1663"/>
      <c r="AB7" s="1472"/>
      <c r="AC7" s="1472"/>
      <c r="AD7" s="1472"/>
      <c r="AE7" s="1472"/>
      <c r="AF7" s="1472"/>
    </row>
    <row r="8" spans="1:33" s="4" customFormat="1" ht="27" customHeight="1" x14ac:dyDescent="0.2">
      <c r="A8" s="1656"/>
      <c r="B8" s="1615"/>
      <c r="C8" s="40">
        <v>42736</v>
      </c>
      <c r="D8" s="40">
        <v>43009</v>
      </c>
      <c r="E8" s="40">
        <v>43100</v>
      </c>
      <c r="F8" s="40">
        <v>42736</v>
      </c>
      <c r="G8" s="40">
        <v>43252</v>
      </c>
      <c r="H8" s="40">
        <v>43374</v>
      </c>
      <c r="I8" s="40">
        <v>43100</v>
      </c>
      <c r="J8" s="40">
        <v>42736</v>
      </c>
      <c r="K8" s="40">
        <v>43221</v>
      </c>
      <c r="L8" s="40">
        <v>43374</v>
      </c>
      <c r="M8" s="40">
        <v>43100</v>
      </c>
      <c r="N8" s="40">
        <v>42736</v>
      </c>
      <c r="O8" s="40">
        <v>43100</v>
      </c>
      <c r="P8" s="40">
        <v>42736</v>
      </c>
      <c r="Q8" s="40">
        <v>43100</v>
      </c>
      <c r="R8" s="40">
        <v>42736</v>
      </c>
      <c r="S8" s="40">
        <v>43100</v>
      </c>
      <c r="T8" s="40">
        <v>42736</v>
      </c>
      <c r="U8" s="40">
        <v>43221</v>
      </c>
      <c r="V8" s="40">
        <v>43009</v>
      </c>
      <c r="W8" s="40">
        <v>43100</v>
      </c>
      <c r="X8" s="40">
        <v>42736</v>
      </c>
      <c r="Y8" s="40">
        <v>43252</v>
      </c>
      <c r="Z8" s="40">
        <v>43374</v>
      </c>
      <c r="AA8" s="40">
        <v>43100</v>
      </c>
      <c r="AB8" s="40">
        <v>42736</v>
      </c>
      <c r="AC8" s="40">
        <v>43221</v>
      </c>
      <c r="AD8" s="40">
        <v>43252</v>
      </c>
      <c r="AE8" s="593">
        <v>43009</v>
      </c>
      <c r="AF8" s="40">
        <v>43100</v>
      </c>
    </row>
    <row r="9" spans="1:33" s="4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3" s="4" customFormat="1" ht="13.9" customHeight="1" x14ac:dyDescent="0.25">
      <c r="A10" s="41" t="s">
        <v>507</v>
      </c>
      <c r="B10" s="43" t="s">
        <v>87</v>
      </c>
      <c r="C10" s="1262" t="s">
        <v>321</v>
      </c>
      <c r="D10" s="1263" t="s">
        <v>597</v>
      </c>
      <c r="E10" s="1262">
        <f>D10+C10</f>
        <v>4</v>
      </c>
      <c r="F10" s="1263" t="s">
        <v>526</v>
      </c>
      <c r="G10" s="1263" t="s">
        <v>526</v>
      </c>
      <c r="H10" s="1262">
        <v>-2</v>
      </c>
      <c r="I10" s="1262">
        <f>H10+G10+F10</f>
        <v>0</v>
      </c>
      <c r="J10" s="44">
        <v>2</v>
      </c>
      <c r="K10" s="44"/>
      <c r="L10" s="44"/>
      <c r="M10" s="44" t="s">
        <v>705</v>
      </c>
      <c r="N10" s="44"/>
      <c r="O10" s="44"/>
      <c r="P10" s="44" t="s">
        <v>597</v>
      </c>
      <c r="Q10" s="44" t="s">
        <v>597</v>
      </c>
      <c r="R10" s="44" t="s">
        <v>597</v>
      </c>
      <c r="S10" s="44" t="s">
        <v>597</v>
      </c>
      <c r="T10" s="1262">
        <f>C10+J10</f>
        <v>6</v>
      </c>
      <c r="U10" s="1262"/>
      <c r="V10" s="1262">
        <v>0</v>
      </c>
      <c r="W10" s="1262">
        <f>E10+M10</f>
        <v>6</v>
      </c>
      <c r="X10" s="1262">
        <v>1</v>
      </c>
      <c r="Y10" s="1262">
        <v>1</v>
      </c>
      <c r="Z10" s="1262">
        <v>-2</v>
      </c>
      <c r="AA10" s="1262">
        <f>Z10+Y10+X10</f>
        <v>0</v>
      </c>
      <c r="AB10" s="1267">
        <f>C10+F10/2+N10/2+R10/2+J10+P10</f>
        <v>6.5</v>
      </c>
      <c r="AC10" s="1264"/>
      <c r="AD10" s="1264">
        <f>G10/2</f>
        <v>0.5</v>
      </c>
      <c r="AE10" s="1264">
        <f>H10/2</f>
        <v>-1</v>
      </c>
      <c r="AF10" s="1264">
        <f>AB10+AE10+AD10</f>
        <v>6</v>
      </c>
    </row>
    <row r="11" spans="1:33" s="4" customFormat="1" ht="13.9" customHeight="1" x14ac:dyDescent="0.25">
      <c r="A11" s="41"/>
      <c r="B11" s="28"/>
      <c r="C11" s="45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33" s="17" customFormat="1" ht="14.45" customHeight="1" x14ac:dyDescent="0.25">
      <c r="A12" s="5" t="s">
        <v>515</v>
      </c>
      <c r="B12" s="46" t="s">
        <v>706</v>
      </c>
      <c r="C12" s="47">
        <v>3</v>
      </c>
      <c r="D12" s="47"/>
      <c r="E12" s="48">
        <f>C12+D12</f>
        <v>3</v>
      </c>
      <c r="F12" s="48"/>
      <c r="G12" s="48"/>
      <c r="H12" s="48"/>
      <c r="I12" s="48"/>
      <c r="J12" s="48">
        <v>36</v>
      </c>
      <c r="K12" s="1265">
        <v>2</v>
      </c>
      <c r="L12" s="1265">
        <v>-2</v>
      </c>
      <c r="M12" s="48">
        <f>J12</f>
        <v>36</v>
      </c>
      <c r="N12" s="48"/>
      <c r="O12" s="48"/>
      <c r="P12" s="48">
        <v>0</v>
      </c>
      <c r="Q12" s="48">
        <v>0</v>
      </c>
      <c r="R12" s="48">
        <v>0</v>
      </c>
      <c r="S12" s="48">
        <v>0</v>
      </c>
      <c r="T12" s="48">
        <f>C12+J12+P12</f>
        <v>39</v>
      </c>
      <c r="U12" s="48">
        <v>2</v>
      </c>
      <c r="V12" s="594">
        <v>-2</v>
      </c>
      <c r="W12" s="48">
        <f>SUM(T12:V12)</f>
        <v>39</v>
      </c>
      <c r="X12" s="48">
        <v>0</v>
      </c>
      <c r="Y12" s="48"/>
      <c r="Z12" s="48"/>
      <c r="AA12" s="48">
        <v>0</v>
      </c>
      <c r="AB12" s="50">
        <f>T12</f>
        <v>39</v>
      </c>
      <c r="AC12" s="1266">
        <v>2</v>
      </c>
      <c r="AD12" s="50"/>
      <c r="AE12" s="1268">
        <f>V12</f>
        <v>-2</v>
      </c>
      <c r="AF12" s="50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1"/>
      <c r="C14" s="52"/>
      <c r="D14" s="52"/>
      <c r="E14" s="53"/>
      <c r="F14" s="53"/>
      <c r="G14" s="53"/>
      <c r="H14" s="53"/>
      <c r="I14" s="53"/>
      <c r="J14" s="53"/>
      <c r="K14" s="53"/>
      <c r="L14" s="53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5"/>
      <c r="X14" s="55"/>
      <c r="Y14" s="55"/>
      <c r="Z14" s="55"/>
      <c r="AA14" s="55"/>
      <c r="AB14" s="55"/>
      <c r="AC14" s="55"/>
      <c r="AD14" s="55"/>
      <c r="AE14" s="55"/>
      <c r="AF14" s="55"/>
    </row>
    <row r="15" spans="1:33" s="17" customFormat="1" ht="14.45" customHeight="1" x14ac:dyDescent="0.25">
      <c r="A15" s="5" t="s">
        <v>516</v>
      </c>
      <c r="B15" s="56" t="s">
        <v>707</v>
      </c>
      <c r="C15" s="57"/>
      <c r="D15" s="57"/>
      <c r="E15" s="58"/>
      <c r="F15" s="58"/>
      <c r="G15" s="58"/>
      <c r="H15" s="58"/>
      <c r="I15" s="58"/>
      <c r="J15" s="58"/>
      <c r="K15" s="58"/>
      <c r="L15" s="58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60"/>
      <c r="X15" s="60"/>
      <c r="Y15" s="60"/>
      <c r="Z15" s="60"/>
      <c r="AA15" s="60"/>
      <c r="AB15" s="60"/>
      <c r="AC15" s="60"/>
      <c r="AD15" s="60"/>
      <c r="AE15" s="60"/>
      <c r="AF15" s="60"/>
    </row>
    <row r="16" spans="1:33" s="17" customFormat="1" ht="14.45" customHeight="1" x14ac:dyDescent="0.25">
      <c r="A16" s="5" t="s">
        <v>517</v>
      </c>
      <c r="B16" s="61" t="s">
        <v>708</v>
      </c>
      <c r="C16" s="620"/>
      <c r="D16" s="62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43">
        <v>22.5</v>
      </c>
      <c r="Q16" s="644">
        <f t="shared" ref="Q16:Q23" si="0">P16</f>
        <v>22.5</v>
      </c>
      <c r="R16" s="643"/>
      <c r="S16" s="643"/>
      <c r="T16" s="644">
        <f t="shared" ref="T16:T24" si="1">C16+J16+P16</f>
        <v>22.5</v>
      </c>
      <c r="U16" s="644"/>
      <c r="V16" s="644"/>
      <c r="W16" s="644">
        <f t="shared" ref="W16:W23" si="2">E16+M16+Q16</f>
        <v>22.5</v>
      </c>
      <c r="X16" s="644"/>
      <c r="Y16" s="644"/>
      <c r="Z16" s="644"/>
      <c r="AA16" s="644"/>
      <c r="AB16" s="644">
        <f t="shared" ref="AB16:AB21" si="3">T16+X16/2</f>
        <v>22.5</v>
      </c>
      <c r="AC16" s="644"/>
      <c r="AD16" s="644"/>
      <c r="AE16" s="644"/>
      <c r="AF16" s="644">
        <f t="shared" ref="AF16:AF23" si="4">W16+AA16/2</f>
        <v>22.5</v>
      </c>
      <c r="AG16" s="621"/>
    </row>
    <row r="17" spans="1:33" s="17" customFormat="1" ht="14.45" customHeight="1" x14ac:dyDescent="0.25">
      <c r="A17" s="5" t="s">
        <v>518</v>
      </c>
      <c r="B17" s="61" t="s">
        <v>1003</v>
      </c>
      <c r="C17" s="62"/>
      <c r="D17" s="62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>
        <v>20</v>
      </c>
      <c r="Q17" s="48">
        <f t="shared" si="0"/>
        <v>20</v>
      </c>
      <c r="R17" s="63"/>
      <c r="S17" s="63"/>
      <c r="T17" s="48">
        <f t="shared" si="1"/>
        <v>20</v>
      </c>
      <c r="U17" s="48"/>
      <c r="V17" s="48"/>
      <c r="W17" s="48">
        <f t="shared" si="2"/>
        <v>20</v>
      </c>
      <c r="X17" s="48"/>
      <c r="Y17" s="48"/>
      <c r="Z17" s="48"/>
      <c r="AA17" s="48"/>
      <c r="AB17" s="48">
        <f t="shared" si="3"/>
        <v>20</v>
      </c>
      <c r="AC17" s="48"/>
      <c r="AD17" s="48"/>
      <c r="AE17" s="48"/>
      <c r="AF17" s="48">
        <f t="shared" si="4"/>
        <v>20</v>
      </c>
    </row>
    <row r="18" spans="1:33" s="17" customFormat="1" ht="14.45" customHeight="1" x14ac:dyDescent="0.25">
      <c r="A18" s="5" t="s">
        <v>519</v>
      </c>
      <c r="B18" s="61" t="s">
        <v>1004</v>
      </c>
      <c r="C18" s="62"/>
      <c r="D18" s="62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>
        <v>9</v>
      </c>
      <c r="Q18" s="48">
        <f t="shared" si="0"/>
        <v>9</v>
      </c>
      <c r="R18" s="63"/>
      <c r="S18" s="63"/>
      <c r="T18" s="48">
        <f t="shared" si="1"/>
        <v>9</v>
      </c>
      <c r="U18" s="48"/>
      <c r="V18" s="48"/>
      <c r="W18" s="48">
        <f t="shared" si="2"/>
        <v>9</v>
      </c>
      <c r="X18" s="48"/>
      <c r="Y18" s="48"/>
      <c r="Z18" s="48"/>
      <c r="AA18" s="48"/>
      <c r="AB18" s="48">
        <f t="shared" si="3"/>
        <v>9</v>
      </c>
      <c r="AC18" s="48"/>
      <c r="AD18" s="48"/>
      <c r="AE18" s="48"/>
      <c r="AF18" s="48">
        <f t="shared" si="4"/>
        <v>9</v>
      </c>
    </row>
    <row r="19" spans="1:33" s="17" customFormat="1" ht="14.45" customHeight="1" x14ac:dyDescent="0.25">
      <c r="A19" s="5" t="s">
        <v>520</v>
      </c>
      <c r="B19" s="61" t="s">
        <v>1005</v>
      </c>
      <c r="C19" s="62"/>
      <c r="D19" s="62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>
        <v>11</v>
      </c>
      <c r="Q19" s="48">
        <f t="shared" si="0"/>
        <v>11</v>
      </c>
      <c r="R19" s="63"/>
      <c r="S19" s="63"/>
      <c r="T19" s="48">
        <f t="shared" si="1"/>
        <v>11</v>
      </c>
      <c r="U19" s="48"/>
      <c r="V19" s="48"/>
      <c r="W19" s="48">
        <f t="shared" si="2"/>
        <v>11</v>
      </c>
      <c r="X19" s="48"/>
      <c r="Y19" s="48"/>
      <c r="Z19" s="48"/>
      <c r="AA19" s="48"/>
      <c r="AB19" s="48">
        <f t="shared" si="3"/>
        <v>11</v>
      </c>
      <c r="AC19" s="48"/>
      <c r="AD19" s="48"/>
      <c r="AE19" s="48"/>
      <c r="AF19" s="48">
        <f t="shared" si="4"/>
        <v>11</v>
      </c>
    </row>
    <row r="20" spans="1:33" s="17" customFormat="1" ht="14.45" customHeight="1" x14ac:dyDescent="0.25">
      <c r="A20" s="5" t="s">
        <v>521</v>
      </c>
      <c r="B20" s="61" t="s">
        <v>709</v>
      </c>
      <c r="C20" s="62"/>
      <c r="D20" s="62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>
        <v>1</v>
      </c>
      <c r="Q20" s="48">
        <f t="shared" si="0"/>
        <v>1</v>
      </c>
      <c r="R20" s="63"/>
      <c r="S20" s="63"/>
      <c r="T20" s="48">
        <f t="shared" si="1"/>
        <v>1</v>
      </c>
      <c r="U20" s="48"/>
      <c r="V20" s="48"/>
      <c r="W20" s="48">
        <f t="shared" si="2"/>
        <v>1</v>
      </c>
      <c r="X20" s="48"/>
      <c r="Y20" s="48"/>
      <c r="Z20" s="48"/>
      <c r="AA20" s="48"/>
      <c r="AB20" s="48">
        <f t="shared" si="3"/>
        <v>1</v>
      </c>
      <c r="AC20" s="48"/>
      <c r="AD20" s="48"/>
      <c r="AE20" s="48"/>
      <c r="AF20" s="48">
        <f t="shared" si="4"/>
        <v>1</v>
      </c>
    </row>
    <row r="21" spans="1:33" s="17" customFormat="1" ht="14.45" customHeight="1" x14ac:dyDescent="0.25">
      <c r="A21" s="5" t="s">
        <v>522</v>
      </c>
      <c r="B21" s="61" t="s">
        <v>710</v>
      </c>
      <c r="C21" s="62"/>
      <c r="D21" s="62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>
        <v>5</v>
      </c>
      <c r="Q21" s="48">
        <f t="shared" si="0"/>
        <v>5</v>
      </c>
      <c r="R21" s="63"/>
      <c r="S21" s="63"/>
      <c r="T21" s="48">
        <f t="shared" si="1"/>
        <v>5</v>
      </c>
      <c r="U21" s="48"/>
      <c r="V21" s="48"/>
      <c r="W21" s="48">
        <f t="shared" si="2"/>
        <v>5</v>
      </c>
      <c r="X21" s="48"/>
      <c r="Y21" s="48"/>
      <c r="Z21" s="48"/>
      <c r="AA21" s="48"/>
      <c r="AB21" s="48">
        <f t="shared" si="3"/>
        <v>5</v>
      </c>
      <c r="AC21" s="48"/>
      <c r="AD21" s="48"/>
      <c r="AE21" s="48"/>
      <c r="AF21" s="48">
        <f t="shared" si="4"/>
        <v>5</v>
      </c>
    </row>
    <row r="22" spans="1:33" s="17" customFormat="1" ht="14.45" customHeight="1" x14ac:dyDescent="0.25">
      <c r="A22" s="5" t="s">
        <v>565</v>
      </c>
      <c r="B22" s="61" t="s">
        <v>983</v>
      </c>
      <c r="C22" s="62"/>
      <c r="D22" s="62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>
        <v>3</v>
      </c>
      <c r="Q22" s="48">
        <f t="shared" si="0"/>
        <v>3</v>
      </c>
      <c r="R22" s="63"/>
      <c r="S22" s="63"/>
      <c r="T22" s="48">
        <f t="shared" si="1"/>
        <v>3</v>
      </c>
      <c r="U22" s="48"/>
      <c r="V22" s="48"/>
      <c r="W22" s="48">
        <f t="shared" si="2"/>
        <v>3</v>
      </c>
      <c r="X22" s="48"/>
      <c r="Y22" s="48"/>
      <c r="Z22" s="48"/>
      <c r="AA22" s="48"/>
      <c r="AB22" s="48">
        <v>3</v>
      </c>
      <c r="AC22" s="48"/>
      <c r="AD22" s="48"/>
      <c r="AE22" s="48"/>
      <c r="AF22" s="48">
        <f t="shared" si="4"/>
        <v>3</v>
      </c>
    </row>
    <row r="23" spans="1:33" s="17" customFormat="1" ht="14.45" customHeight="1" x14ac:dyDescent="0.25">
      <c r="A23" s="5" t="s">
        <v>566</v>
      </c>
      <c r="B23" s="61" t="s">
        <v>712</v>
      </c>
      <c r="C23" s="62"/>
      <c r="D23" s="62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>
        <v>4</v>
      </c>
      <c r="Q23" s="48">
        <f t="shared" si="0"/>
        <v>4</v>
      </c>
      <c r="R23" s="63"/>
      <c r="S23" s="63"/>
      <c r="T23" s="48">
        <f t="shared" si="1"/>
        <v>4</v>
      </c>
      <c r="U23" s="48"/>
      <c r="V23" s="48"/>
      <c r="W23" s="48">
        <f t="shared" si="2"/>
        <v>4</v>
      </c>
      <c r="X23" s="48"/>
      <c r="Y23" s="48"/>
      <c r="Z23" s="48"/>
      <c r="AA23" s="48"/>
      <c r="AB23" s="48">
        <f>T23+X23/2</f>
        <v>4</v>
      </c>
      <c r="AC23" s="48"/>
      <c r="AD23" s="48"/>
      <c r="AE23" s="48"/>
      <c r="AF23" s="48">
        <f t="shared" si="4"/>
        <v>4</v>
      </c>
    </row>
    <row r="24" spans="1:33" s="17" customFormat="1" ht="14.45" customHeight="1" x14ac:dyDescent="0.25">
      <c r="A24" s="5" t="s">
        <v>567</v>
      </c>
      <c r="B24" s="46" t="s">
        <v>713</v>
      </c>
      <c r="C24" s="47"/>
      <c r="D24" s="47"/>
      <c r="E24" s="64"/>
      <c r="F24" s="64"/>
      <c r="G24" s="64"/>
      <c r="H24" s="64"/>
      <c r="I24" s="64"/>
      <c r="J24" s="64"/>
      <c r="K24" s="64"/>
      <c r="L24" s="64"/>
      <c r="M24" s="63"/>
      <c r="N24" s="63"/>
      <c r="O24" s="63"/>
      <c r="P24" s="48">
        <f>SUM(P16:P23)</f>
        <v>75.5</v>
      </c>
      <c r="Q24" s="48">
        <f>SUM(Q16:Q23)</f>
        <v>75.5</v>
      </c>
      <c r="R24" s="48">
        <v>0</v>
      </c>
      <c r="S24" s="48">
        <v>0</v>
      </c>
      <c r="T24" s="48">
        <f t="shared" si="1"/>
        <v>75.5</v>
      </c>
      <c r="U24" s="48"/>
      <c r="V24" s="48"/>
      <c r="W24" s="48">
        <f>SUM(W16:W23)</f>
        <v>75.5</v>
      </c>
      <c r="X24" s="48">
        <v>0</v>
      </c>
      <c r="Y24" s="48"/>
      <c r="Z24" s="48"/>
      <c r="AA24" s="48">
        <v>0</v>
      </c>
      <c r="AB24" s="187">
        <f>T24+X24/2</f>
        <v>75.5</v>
      </c>
      <c r="AC24" s="187"/>
      <c r="AD24" s="187"/>
      <c r="AE24" s="594">
        <v>0</v>
      </c>
      <c r="AF24" s="48">
        <f>SUM(AF16:AF23)</f>
        <v>75.5</v>
      </c>
      <c r="AG24" s="586"/>
    </row>
    <row r="25" spans="1:33" s="17" customFormat="1" ht="13.5" customHeight="1" x14ac:dyDescent="0.25">
      <c r="A25" s="5"/>
      <c r="B25" s="101"/>
      <c r="C25" s="102"/>
      <c r="D25" s="102"/>
      <c r="E25" s="103"/>
      <c r="F25" s="103"/>
      <c r="G25" s="103"/>
      <c r="H25" s="103"/>
      <c r="I25" s="103"/>
      <c r="J25" s="103"/>
      <c r="K25" s="103"/>
      <c r="L25" s="103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</row>
    <row r="26" spans="1:33" ht="12.75" customHeight="1" x14ac:dyDescent="0.25">
      <c r="A26" s="5"/>
      <c r="B26" s="51"/>
      <c r="C26" s="52"/>
      <c r="D26" s="52"/>
      <c r="E26" s="53"/>
      <c r="F26" s="53"/>
      <c r="G26" s="53"/>
      <c r="H26" s="53"/>
      <c r="I26" s="53"/>
      <c r="J26" s="53"/>
      <c r="K26" s="53"/>
      <c r="L26" s="53"/>
      <c r="M26" s="71"/>
      <c r="N26" s="71"/>
      <c r="O26" s="71"/>
      <c r="P26" s="71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</row>
    <row r="27" spans="1:33" s="17" customFormat="1" ht="27" customHeight="1" x14ac:dyDescent="0.25">
      <c r="A27" s="5" t="s">
        <v>568</v>
      </c>
      <c r="B27" s="56" t="s">
        <v>714</v>
      </c>
      <c r="C27" s="57"/>
      <c r="D27" s="57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8"/>
    </row>
    <row r="28" spans="1:33" s="17" customFormat="1" ht="14.45" customHeight="1" x14ac:dyDescent="0.25">
      <c r="A28" s="5" t="s">
        <v>569</v>
      </c>
      <c r="B28" s="61" t="s">
        <v>630</v>
      </c>
      <c r="C28" s="62"/>
      <c r="D28" s="62"/>
      <c r="E28" s="63"/>
      <c r="F28" s="63"/>
      <c r="G28" s="63"/>
      <c r="H28" s="63"/>
      <c r="I28" s="63"/>
      <c r="J28" s="63"/>
      <c r="K28" s="63"/>
      <c r="L28" s="63"/>
      <c r="M28" s="48"/>
      <c r="N28" s="48"/>
      <c r="O28" s="48"/>
      <c r="P28" s="63">
        <v>7</v>
      </c>
      <c r="Q28" s="48">
        <f t="shared" ref="Q28:Q38" si="5">P28</f>
        <v>7</v>
      </c>
      <c r="R28" s="63"/>
      <c r="S28" s="63"/>
      <c r="T28" s="48">
        <f>C28+J28+P28</f>
        <v>7</v>
      </c>
      <c r="U28" s="48"/>
      <c r="V28" s="48"/>
      <c r="W28" s="48">
        <f t="shared" ref="W28:W40" si="6">E28+M28+Q28</f>
        <v>7</v>
      </c>
      <c r="X28" s="48"/>
      <c r="Y28" s="48"/>
      <c r="Z28" s="48"/>
      <c r="AA28" s="48"/>
      <c r="AB28" s="48">
        <f t="shared" ref="AB28:AB40" si="7">C28+J28+P28+R28/2</f>
        <v>7</v>
      </c>
      <c r="AC28" s="48"/>
      <c r="AD28" s="48"/>
      <c r="AE28" s="63"/>
      <c r="AF28" s="48">
        <f t="shared" ref="AF28:AF40" si="8">E28+M28+Q28+S28/2</f>
        <v>7</v>
      </c>
      <c r="AG28" s="26"/>
    </row>
    <row r="29" spans="1:33" s="17" customFormat="1" ht="14.45" customHeight="1" x14ac:dyDescent="0.25">
      <c r="A29" s="5" t="s">
        <v>570</v>
      </c>
      <c r="B29" s="61" t="s">
        <v>715</v>
      </c>
      <c r="C29" s="62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>
        <v>1</v>
      </c>
      <c r="Q29" s="48">
        <f t="shared" si="5"/>
        <v>1</v>
      </c>
      <c r="R29" s="63"/>
      <c r="S29" s="63"/>
      <c r="T29" s="48">
        <f>C29+J29+P29</f>
        <v>1</v>
      </c>
      <c r="U29" s="48"/>
      <c r="V29" s="48"/>
      <c r="W29" s="48">
        <f t="shared" si="6"/>
        <v>1</v>
      </c>
      <c r="X29" s="48"/>
      <c r="Y29" s="48"/>
      <c r="Z29" s="48"/>
      <c r="AA29" s="48"/>
      <c r="AB29" s="48">
        <f t="shared" si="7"/>
        <v>1</v>
      </c>
      <c r="AC29" s="48"/>
      <c r="AD29" s="48"/>
      <c r="AE29" s="63"/>
      <c r="AF29" s="48">
        <f t="shared" si="8"/>
        <v>1</v>
      </c>
      <c r="AG29" s="26"/>
    </row>
    <row r="30" spans="1:33" s="17" customFormat="1" ht="28.5" customHeight="1" x14ac:dyDescent="0.25">
      <c r="A30" s="5" t="s">
        <v>571</v>
      </c>
      <c r="B30" s="61" t="s">
        <v>1082</v>
      </c>
      <c r="C30" s="62"/>
      <c r="D30" s="62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>
        <v>31</v>
      </c>
      <c r="Q30" s="48">
        <f t="shared" si="5"/>
        <v>31</v>
      </c>
      <c r="R30" s="63">
        <v>1</v>
      </c>
      <c r="S30" s="63">
        <v>1</v>
      </c>
      <c r="T30" s="48">
        <v>31</v>
      </c>
      <c r="U30" s="48"/>
      <c r="V30" s="48"/>
      <c r="W30" s="48">
        <f t="shared" si="6"/>
        <v>31</v>
      </c>
      <c r="X30" s="644">
        <f>R30+N30+F30</f>
        <v>1</v>
      </c>
      <c r="Y30" s="644"/>
      <c r="Z30" s="644"/>
      <c r="AA30" s="644">
        <f>I30+O30+S30</f>
        <v>1</v>
      </c>
      <c r="AB30" s="644">
        <f t="shared" si="7"/>
        <v>31.5</v>
      </c>
      <c r="AC30" s="644"/>
      <c r="AD30" s="644"/>
      <c r="AE30" s="643"/>
      <c r="AF30" s="644">
        <f t="shared" si="8"/>
        <v>31.5</v>
      </c>
      <c r="AG30" s="26"/>
    </row>
    <row r="31" spans="1:33" s="17" customFormat="1" ht="14.45" customHeight="1" x14ac:dyDescent="0.25">
      <c r="A31" s="5" t="s">
        <v>573</v>
      </c>
      <c r="B31" s="61" t="s">
        <v>716</v>
      </c>
      <c r="C31" s="62"/>
      <c r="D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>
        <v>2</v>
      </c>
      <c r="Q31" s="48">
        <f t="shared" si="5"/>
        <v>2</v>
      </c>
      <c r="R31" s="63"/>
      <c r="S31" s="63"/>
      <c r="T31" s="48">
        <f>C31+J31+P31</f>
        <v>2</v>
      </c>
      <c r="U31" s="48"/>
      <c r="V31" s="48"/>
      <c r="W31" s="48">
        <f t="shared" si="6"/>
        <v>2</v>
      </c>
      <c r="X31" s="48"/>
      <c r="Y31" s="48"/>
      <c r="Z31" s="48"/>
      <c r="AA31" s="48"/>
      <c r="AB31" s="48">
        <f t="shared" si="7"/>
        <v>2</v>
      </c>
      <c r="AC31" s="48"/>
      <c r="AD31" s="48"/>
      <c r="AE31" s="63"/>
      <c r="AF31" s="48">
        <f t="shared" si="8"/>
        <v>2</v>
      </c>
      <c r="AG31" s="26"/>
    </row>
    <row r="32" spans="1:33" s="17" customFormat="1" ht="14.45" customHeight="1" x14ac:dyDescent="0.25">
      <c r="A32" s="5" t="s">
        <v>574</v>
      </c>
      <c r="B32" s="61" t="s">
        <v>732</v>
      </c>
      <c r="C32" s="62"/>
      <c r="D32" s="62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>
        <v>2</v>
      </c>
      <c r="Q32" s="48">
        <f t="shared" si="5"/>
        <v>2</v>
      </c>
      <c r="R32" s="63"/>
      <c r="S32" s="63"/>
      <c r="T32" s="48">
        <f>C32+J32+P32</f>
        <v>2</v>
      </c>
      <c r="U32" s="48"/>
      <c r="V32" s="48"/>
      <c r="W32" s="48">
        <f t="shared" si="6"/>
        <v>2</v>
      </c>
      <c r="X32" s="48"/>
      <c r="Y32" s="48"/>
      <c r="Z32" s="48"/>
      <c r="AA32" s="48"/>
      <c r="AB32" s="48">
        <f t="shared" si="7"/>
        <v>2</v>
      </c>
      <c r="AC32" s="48"/>
      <c r="AD32" s="48"/>
      <c r="AE32" s="48"/>
      <c r="AF32" s="48">
        <f t="shared" si="8"/>
        <v>2</v>
      </c>
      <c r="AG32" s="26"/>
    </row>
    <row r="33" spans="1:35" s="17" customFormat="1" ht="14.45" customHeight="1" x14ac:dyDescent="0.25">
      <c r="A33" s="5" t="s">
        <v>575</v>
      </c>
      <c r="B33" s="61" t="s">
        <v>717</v>
      </c>
      <c r="C33" s="62"/>
      <c r="D33" s="62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>
        <v>2</v>
      </c>
      <c r="Q33" s="48">
        <f t="shared" si="5"/>
        <v>2</v>
      </c>
      <c r="R33" s="63"/>
      <c r="S33" s="63"/>
      <c r="T33" s="48">
        <v>2</v>
      </c>
      <c r="U33" s="48"/>
      <c r="V33" s="48"/>
      <c r="W33" s="48">
        <f t="shared" si="6"/>
        <v>2</v>
      </c>
      <c r="X33" s="48"/>
      <c r="Y33" s="48"/>
      <c r="Z33" s="48"/>
      <c r="AA33" s="48"/>
      <c r="AB33" s="48">
        <f t="shared" si="7"/>
        <v>2</v>
      </c>
      <c r="AC33" s="48"/>
      <c r="AD33" s="48"/>
      <c r="AE33" s="63"/>
      <c r="AF33" s="48">
        <f t="shared" si="8"/>
        <v>2</v>
      </c>
      <c r="AG33" s="26"/>
      <c r="AI33" s="418"/>
    </row>
    <row r="34" spans="1:35" s="17" customFormat="1" ht="14.45" customHeight="1" x14ac:dyDescent="0.25">
      <c r="A34" s="5" t="s">
        <v>576</v>
      </c>
      <c r="B34" s="61" t="s">
        <v>718</v>
      </c>
      <c r="C34" s="62"/>
      <c r="D34" s="62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>
        <v>5</v>
      </c>
      <c r="Q34" s="48">
        <f t="shared" si="5"/>
        <v>5</v>
      </c>
      <c r="R34" s="63"/>
      <c r="S34" s="63"/>
      <c r="T34" s="48">
        <f>P34+R34</f>
        <v>5</v>
      </c>
      <c r="U34" s="48"/>
      <c r="V34" s="48"/>
      <c r="W34" s="48">
        <f t="shared" si="6"/>
        <v>5</v>
      </c>
      <c r="X34" s="48"/>
      <c r="Y34" s="48"/>
      <c r="Z34" s="48"/>
      <c r="AA34" s="48"/>
      <c r="AB34" s="48">
        <f t="shared" si="7"/>
        <v>5</v>
      </c>
      <c r="AC34" s="48"/>
      <c r="AD34" s="48"/>
      <c r="AE34" s="63"/>
      <c r="AF34" s="48">
        <f t="shared" si="8"/>
        <v>5</v>
      </c>
      <c r="AG34" s="26"/>
    </row>
    <row r="35" spans="1:35" s="17" customFormat="1" ht="14.45" customHeight="1" x14ac:dyDescent="0.25">
      <c r="A35" s="5" t="s">
        <v>577</v>
      </c>
      <c r="B35" s="61" t="s">
        <v>711</v>
      </c>
      <c r="C35" s="62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>
        <v>4</v>
      </c>
      <c r="Q35" s="48">
        <f t="shared" si="5"/>
        <v>4</v>
      </c>
      <c r="R35" s="63"/>
      <c r="S35" s="63"/>
      <c r="T35" s="48">
        <v>4</v>
      </c>
      <c r="U35" s="48"/>
      <c r="V35" s="48"/>
      <c r="W35" s="48">
        <f t="shared" si="6"/>
        <v>4</v>
      </c>
      <c r="X35" s="48"/>
      <c r="Y35" s="48"/>
      <c r="Z35" s="48"/>
      <c r="AA35" s="48"/>
      <c r="AB35" s="48">
        <f t="shared" si="7"/>
        <v>4</v>
      </c>
      <c r="AC35" s="48"/>
      <c r="AD35" s="48"/>
      <c r="AE35" s="63"/>
      <c r="AF35" s="48">
        <f t="shared" si="8"/>
        <v>4</v>
      </c>
    </row>
    <row r="36" spans="1:35" s="17" customFormat="1" ht="14.45" customHeight="1" x14ac:dyDescent="0.25">
      <c r="A36" s="5" t="s">
        <v>578</v>
      </c>
      <c r="B36" s="61" t="s">
        <v>546</v>
      </c>
      <c r="C36" s="62"/>
      <c r="D36" s="62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>
        <v>1</v>
      </c>
      <c r="Q36" s="48">
        <f t="shared" si="5"/>
        <v>1</v>
      </c>
      <c r="R36" s="63"/>
      <c r="S36" s="63"/>
      <c r="T36" s="48">
        <v>1</v>
      </c>
      <c r="U36" s="48"/>
      <c r="V36" s="48"/>
      <c r="W36" s="48">
        <f t="shared" si="6"/>
        <v>1</v>
      </c>
      <c r="X36" s="48"/>
      <c r="Y36" s="48"/>
      <c r="Z36" s="48"/>
      <c r="AA36" s="48"/>
      <c r="AB36" s="48">
        <f t="shared" si="7"/>
        <v>1</v>
      </c>
      <c r="AC36" s="48"/>
      <c r="AD36" s="48"/>
      <c r="AE36" s="63"/>
      <c r="AF36" s="48">
        <f t="shared" si="8"/>
        <v>1</v>
      </c>
    </row>
    <row r="37" spans="1:35" s="17" customFormat="1" ht="14.45" customHeight="1" x14ac:dyDescent="0.25">
      <c r="A37" s="5" t="s">
        <v>579</v>
      </c>
      <c r="B37" s="61" t="s">
        <v>547</v>
      </c>
      <c r="C37" s="62"/>
      <c r="D37" s="62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>
        <v>4</v>
      </c>
      <c r="Q37" s="48">
        <f t="shared" si="5"/>
        <v>4</v>
      </c>
      <c r="R37" s="63"/>
      <c r="S37" s="63"/>
      <c r="T37" s="48">
        <v>4</v>
      </c>
      <c r="U37" s="48"/>
      <c r="V37" s="48"/>
      <c r="W37" s="48">
        <f t="shared" si="6"/>
        <v>4</v>
      </c>
      <c r="X37" s="48"/>
      <c r="Y37" s="48"/>
      <c r="Z37" s="48"/>
      <c r="AA37" s="48"/>
      <c r="AB37" s="48">
        <f t="shared" si="7"/>
        <v>4</v>
      </c>
      <c r="AC37" s="48"/>
      <c r="AD37" s="48"/>
      <c r="AE37" s="63"/>
      <c r="AF37" s="48">
        <f t="shared" si="8"/>
        <v>4</v>
      </c>
    </row>
    <row r="38" spans="1:35" s="17" customFormat="1" ht="14.25" customHeight="1" x14ac:dyDescent="0.25">
      <c r="A38" s="5" t="s">
        <v>580</v>
      </c>
      <c r="B38" s="61" t="s">
        <v>548</v>
      </c>
      <c r="C38" s="62"/>
      <c r="D38" s="62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>
        <v>4</v>
      </c>
      <c r="Q38" s="48">
        <f t="shared" si="5"/>
        <v>4</v>
      </c>
      <c r="R38" s="63"/>
      <c r="S38" s="63"/>
      <c r="T38" s="48">
        <v>4</v>
      </c>
      <c r="U38" s="48"/>
      <c r="V38" s="48"/>
      <c r="W38" s="48">
        <f t="shared" si="6"/>
        <v>4</v>
      </c>
      <c r="X38" s="48"/>
      <c r="Y38" s="48"/>
      <c r="Z38" s="48"/>
      <c r="AA38" s="48"/>
      <c r="AB38" s="48">
        <f t="shared" si="7"/>
        <v>4</v>
      </c>
      <c r="AC38" s="48"/>
      <c r="AD38" s="48"/>
      <c r="AE38" s="63"/>
      <c r="AF38" s="48">
        <f t="shared" si="8"/>
        <v>4</v>
      </c>
    </row>
    <row r="39" spans="1:35" s="17" customFormat="1" ht="14.25" customHeight="1" x14ac:dyDescent="0.25">
      <c r="A39" s="5" t="s">
        <v>600</v>
      </c>
      <c r="B39" s="61" t="s">
        <v>1013</v>
      </c>
      <c r="C39" s="62"/>
      <c r="D39" s="62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>
        <v>1</v>
      </c>
      <c r="Q39" s="48">
        <f>SUM(P39:P39)</f>
        <v>1</v>
      </c>
      <c r="R39" s="63"/>
      <c r="S39" s="63"/>
      <c r="T39" s="48">
        <f>P39</f>
        <v>1</v>
      </c>
      <c r="U39" s="48"/>
      <c r="V39" s="48"/>
      <c r="W39" s="48">
        <f t="shared" si="6"/>
        <v>1</v>
      </c>
      <c r="X39" s="48"/>
      <c r="Y39" s="48"/>
      <c r="Z39" s="48"/>
      <c r="AA39" s="48"/>
      <c r="AB39" s="48">
        <f t="shared" si="7"/>
        <v>1</v>
      </c>
      <c r="AC39" s="48"/>
      <c r="AD39" s="48"/>
      <c r="AE39" s="63"/>
      <c r="AF39" s="48">
        <f t="shared" si="8"/>
        <v>1</v>
      </c>
    </row>
    <row r="40" spans="1:35" s="17" customFormat="1" ht="14.25" customHeight="1" x14ac:dyDescent="0.25">
      <c r="A40" s="5" t="s">
        <v>601</v>
      </c>
      <c r="B40" s="46" t="s">
        <v>719</v>
      </c>
      <c r="C40" s="47"/>
      <c r="D40" s="47"/>
      <c r="E40" s="64"/>
      <c r="F40" s="64"/>
      <c r="G40" s="64"/>
      <c r="H40" s="64"/>
      <c r="I40" s="64"/>
      <c r="J40" s="64"/>
      <c r="K40" s="64"/>
      <c r="L40" s="64"/>
      <c r="M40" s="48"/>
      <c r="N40" s="48"/>
      <c r="O40" s="48"/>
      <c r="P40" s="48">
        <f>SUM(P28:P39)</f>
        <v>64</v>
      </c>
      <c r="Q40" s="48">
        <f>SUM(Q28:Q39)</f>
        <v>64</v>
      </c>
      <c r="R40" s="48">
        <f>SUM(R28:R38)</f>
        <v>1</v>
      </c>
      <c r="S40" s="48">
        <f>SUM(S28:S38)</f>
        <v>1</v>
      </c>
      <c r="T40" s="48">
        <f>SUM(T28:T39)</f>
        <v>64</v>
      </c>
      <c r="U40" s="48"/>
      <c r="V40" s="48"/>
      <c r="W40" s="48">
        <f t="shared" si="6"/>
        <v>64</v>
      </c>
      <c r="X40" s="48">
        <f>R40+N40+F40</f>
        <v>1</v>
      </c>
      <c r="Y40" s="48"/>
      <c r="Z40" s="48"/>
      <c r="AA40" s="48">
        <f>I40+O40+S40</f>
        <v>1</v>
      </c>
      <c r="AB40" s="187">
        <f t="shared" si="7"/>
        <v>64.5</v>
      </c>
      <c r="AC40" s="187"/>
      <c r="AD40" s="187"/>
      <c r="AE40" s="48">
        <v>0</v>
      </c>
      <c r="AF40" s="48">
        <f t="shared" si="8"/>
        <v>64.5</v>
      </c>
    </row>
    <row r="41" spans="1:35" ht="12.75" hidden="1" customHeight="1" x14ac:dyDescent="0.25">
      <c r="A41" s="5" t="s">
        <v>602</v>
      </c>
      <c r="B41" s="65"/>
      <c r="C41" s="66"/>
      <c r="D41" s="66"/>
      <c r="E41" s="67"/>
      <c r="F41" s="67"/>
      <c r="G41" s="67"/>
      <c r="H41" s="67"/>
      <c r="I41" s="67"/>
      <c r="J41" s="67"/>
      <c r="K41" s="67"/>
      <c r="L41" s="67"/>
      <c r="M41" s="68"/>
      <c r="N41" s="68"/>
      <c r="O41" s="68"/>
      <c r="P41" s="68"/>
      <c r="Q41" s="48">
        <f>P41</f>
        <v>0</v>
      </c>
      <c r="R41" s="68">
        <f>SUM(R28:R40)</f>
        <v>2</v>
      </c>
      <c r="S41" s="68"/>
      <c r="T41" s="68"/>
      <c r="U41" s="68"/>
      <c r="V41" s="68"/>
      <c r="W41" s="68"/>
      <c r="X41" s="54"/>
      <c r="Y41" s="54"/>
      <c r="Z41" s="54"/>
      <c r="AA41" s="54"/>
      <c r="AB41" s="54"/>
      <c r="AC41" s="54"/>
      <c r="AD41" s="54"/>
      <c r="AE41" s="54"/>
      <c r="AF41" s="419"/>
      <c r="AG41" s="363"/>
    </row>
    <row r="42" spans="1:35" s="29" customFormat="1" ht="14.25" hidden="1" customHeight="1" x14ac:dyDescent="0.25">
      <c r="A42" s="5" t="s">
        <v>603</v>
      </c>
      <c r="B42" s="56"/>
      <c r="C42" s="70"/>
      <c r="D42" s="70"/>
      <c r="E42" s="54"/>
      <c r="F42" s="54"/>
      <c r="G42" s="54"/>
      <c r="H42" s="54"/>
      <c r="I42" s="54"/>
      <c r="J42" s="54"/>
      <c r="K42" s="54"/>
      <c r="L42" s="54"/>
      <c r="M42" s="71"/>
      <c r="N42" s="71"/>
      <c r="O42" s="71"/>
      <c r="P42" s="71"/>
      <c r="Q42" s="54"/>
      <c r="R42" s="54"/>
      <c r="S42" s="54"/>
      <c r="T42" s="54"/>
      <c r="U42" s="54"/>
      <c r="V42" s="54"/>
      <c r="W42" s="71"/>
      <c r="X42" s="71"/>
      <c r="Y42" s="71"/>
      <c r="Z42" s="71"/>
      <c r="AA42" s="54"/>
      <c r="AB42" s="54"/>
      <c r="AC42" s="54"/>
      <c r="AD42" s="54"/>
      <c r="AE42" s="54"/>
      <c r="AF42" s="54"/>
    </row>
    <row r="43" spans="1:35" s="29" customFormat="1" ht="14.45" hidden="1" customHeight="1" x14ac:dyDescent="0.25">
      <c r="A43" s="5" t="s">
        <v>604</v>
      </c>
      <c r="B43" s="72"/>
      <c r="C43" s="73"/>
      <c r="D43" s="73"/>
      <c r="E43" s="48"/>
      <c r="F43" s="48"/>
      <c r="G43" s="48"/>
      <c r="H43" s="48"/>
      <c r="I43" s="48"/>
      <c r="J43" s="48"/>
      <c r="K43" s="48"/>
      <c r="L43" s="48"/>
      <c r="M43" s="63"/>
      <c r="N43" s="63"/>
      <c r="O43" s="63"/>
      <c r="P43" s="63"/>
      <c r="Q43" s="48"/>
      <c r="R43" s="48"/>
      <c r="S43" s="48"/>
      <c r="T43" s="48"/>
      <c r="U43" s="48"/>
      <c r="V43" s="48"/>
      <c r="W43" s="63"/>
      <c r="X43" s="63"/>
      <c r="Y43" s="63"/>
      <c r="Z43" s="63"/>
      <c r="AA43" s="48"/>
      <c r="AB43" s="48"/>
      <c r="AC43" s="48"/>
      <c r="AD43" s="48"/>
      <c r="AE43" s="48"/>
      <c r="AF43" s="48"/>
    </row>
    <row r="44" spans="1:35" s="29" customFormat="1" ht="14.25" hidden="1" customHeight="1" x14ac:dyDescent="0.25">
      <c r="A44" s="5" t="s">
        <v>605</v>
      </c>
      <c r="B44" s="61"/>
      <c r="C44" s="62"/>
      <c r="D44" s="62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48"/>
      <c r="AB44" s="48"/>
      <c r="AC44" s="48"/>
      <c r="AD44" s="48"/>
      <c r="AE44" s="48"/>
      <c r="AF44" s="48"/>
    </row>
    <row r="45" spans="1:35" s="29" customFormat="1" ht="14.25" hidden="1" customHeight="1" x14ac:dyDescent="0.25">
      <c r="A45" s="5" t="s">
        <v>606</v>
      </c>
      <c r="B45" s="61"/>
      <c r="C45" s="62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48"/>
      <c r="AB45" s="48"/>
      <c r="AC45" s="48"/>
      <c r="AD45" s="48"/>
      <c r="AE45" s="48"/>
      <c r="AF45" s="48"/>
    </row>
    <row r="46" spans="1:35" s="29" customFormat="1" ht="14.25" hidden="1" customHeight="1" x14ac:dyDescent="0.25">
      <c r="A46" s="5" t="s">
        <v>607</v>
      </c>
      <c r="B46" s="61"/>
      <c r="C46" s="62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48"/>
      <c r="AB46" s="48"/>
      <c r="AC46" s="48"/>
      <c r="AD46" s="48"/>
      <c r="AE46" s="48"/>
      <c r="AF46" s="48"/>
    </row>
    <row r="47" spans="1:35" s="29" customFormat="1" ht="14.25" hidden="1" customHeight="1" x14ac:dyDescent="0.25">
      <c r="A47" s="5" t="s">
        <v>608</v>
      </c>
      <c r="B47" s="61"/>
      <c r="C47" s="62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48"/>
      <c r="AB47" s="48"/>
      <c r="AC47" s="48"/>
      <c r="AD47" s="48"/>
      <c r="AE47" s="48"/>
      <c r="AF47" s="48"/>
    </row>
    <row r="48" spans="1:35" s="29" customFormat="1" ht="14.25" hidden="1" customHeight="1" x14ac:dyDescent="0.25">
      <c r="A48" s="5" t="s">
        <v>663</v>
      </c>
      <c r="B48" s="61"/>
      <c r="C48" s="62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48"/>
      <c r="AB48" s="48"/>
      <c r="AC48" s="48"/>
      <c r="AD48" s="48"/>
      <c r="AE48" s="48"/>
      <c r="AF48" s="48"/>
    </row>
    <row r="49" spans="1:32" s="29" customFormat="1" ht="14.25" hidden="1" customHeight="1" x14ac:dyDescent="0.25">
      <c r="A49" s="5" t="s">
        <v>664</v>
      </c>
      <c r="B49" s="61"/>
      <c r="C49" s="62"/>
      <c r="D49" s="62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48"/>
      <c r="AB49" s="48"/>
      <c r="AC49" s="48"/>
      <c r="AD49" s="48"/>
      <c r="AE49" s="48"/>
      <c r="AF49" s="48"/>
    </row>
    <row r="50" spans="1:32" s="29" customFormat="1" ht="14.25" hidden="1" customHeight="1" x14ac:dyDescent="0.25">
      <c r="A50" s="5" t="s">
        <v>665</v>
      </c>
      <c r="B50" s="61"/>
      <c r="C50" s="62"/>
      <c r="D50" s="62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48"/>
      <c r="AC50" s="48"/>
      <c r="AD50" s="48"/>
      <c r="AE50" s="63"/>
      <c r="AF50" s="48"/>
    </row>
    <row r="51" spans="1:32" s="29" customFormat="1" ht="14.25" hidden="1" customHeight="1" x14ac:dyDescent="0.25">
      <c r="A51" s="5" t="s">
        <v>666</v>
      </c>
      <c r="B51" s="61"/>
      <c r="C51" s="62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48"/>
      <c r="AC51" s="48"/>
      <c r="AD51" s="48"/>
      <c r="AE51" s="63"/>
      <c r="AF51" s="48"/>
    </row>
    <row r="52" spans="1:32" s="29" customFormat="1" ht="14.25" hidden="1" customHeight="1" x14ac:dyDescent="0.25">
      <c r="A52" s="5" t="s">
        <v>125</v>
      </c>
      <c r="B52" s="61"/>
      <c r="C52" s="62"/>
      <c r="D52" s="62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48"/>
      <c r="AC52" s="48"/>
      <c r="AD52" s="48"/>
      <c r="AE52" s="63"/>
      <c r="AF52" s="48"/>
    </row>
    <row r="53" spans="1:32" s="29" customFormat="1" ht="14.25" hidden="1" customHeight="1" x14ac:dyDescent="0.25">
      <c r="A53" s="5" t="s">
        <v>692</v>
      </c>
      <c r="B53" s="74"/>
      <c r="C53" s="73"/>
      <c r="D53" s="7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48"/>
      <c r="AB53" s="48"/>
      <c r="AC53" s="48"/>
      <c r="AD53" s="48"/>
      <c r="AE53" s="48"/>
      <c r="AF53" s="48"/>
    </row>
    <row r="54" spans="1:32" s="29" customFormat="1" ht="14.25" hidden="1" customHeight="1" x14ac:dyDescent="0.25">
      <c r="A54" s="5" t="s">
        <v>693</v>
      </c>
      <c r="B54" s="61"/>
      <c r="C54" s="62"/>
      <c r="D54" s="62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48"/>
      <c r="AB54" s="48"/>
      <c r="AC54" s="48"/>
      <c r="AD54" s="48"/>
      <c r="AE54" s="48"/>
      <c r="AF54" s="48"/>
    </row>
    <row r="55" spans="1:32" s="29" customFormat="1" ht="14.25" hidden="1" customHeight="1" x14ac:dyDescent="0.25">
      <c r="A55" s="5" t="s">
        <v>128</v>
      </c>
      <c r="B55" s="61"/>
      <c r="C55" s="62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48"/>
      <c r="AB55" s="48"/>
      <c r="AC55" s="48"/>
      <c r="AD55" s="48"/>
      <c r="AE55" s="48"/>
      <c r="AF55" s="48"/>
    </row>
    <row r="56" spans="1:32" s="29" customFormat="1" ht="14.25" hidden="1" customHeight="1" x14ac:dyDescent="0.25">
      <c r="A56" s="5" t="s">
        <v>129</v>
      </c>
      <c r="B56" s="61"/>
      <c r="C56" s="62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48"/>
      <c r="AB56" s="48"/>
      <c r="AC56" s="48"/>
      <c r="AD56" s="48"/>
      <c r="AE56" s="48"/>
      <c r="AF56" s="48"/>
    </row>
    <row r="57" spans="1:32" s="29" customFormat="1" ht="14.25" hidden="1" customHeight="1" x14ac:dyDescent="0.25">
      <c r="A57" s="5" t="s">
        <v>130</v>
      </c>
      <c r="B57" s="74"/>
      <c r="C57" s="73"/>
      <c r="D57" s="7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48"/>
      <c r="AB57" s="48"/>
      <c r="AC57" s="48"/>
      <c r="AD57" s="48"/>
      <c r="AE57" s="48"/>
      <c r="AF57" s="48"/>
    </row>
    <row r="58" spans="1:32" s="29" customFormat="1" ht="14.25" hidden="1" customHeight="1" x14ac:dyDescent="0.25">
      <c r="A58" s="5" t="s">
        <v>133</v>
      </c>
      <c r="B58" s="61"/>
      <c r="C58" s="62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48"/>
      <c r="AB58" s="48"/>
      <c r="AC58" s="48"/>
      <c r="AD58" s="48"/>
      <c r="AE58" s="48"/>
      <c r="AF58" s="48"/>
    </row>
    <row r="59" spans="1:32" s="29" customFormat="1" ht="14.25" hidden="1" customHeight="1" x14ac:dyDescent="0.25">
      <c r="A59" s="5" t="s">
        <v>136</v>
      </c>
      <c r="B59" s="61"/>
      <c r="C59" s="62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48"/>
      <c r="AB59" s="48"/>
      <c r="AC59" s="48"/>
      <c r="AD59" s="48"/>
      <c r="AE59" s="48"/>
      <c r="AF59" s="48"/>
    </row>
    <row r="60" spans="1:32" s="29" customFormat="1" ht="14.45" hidden="1" customHeight="1" x14ac:dyDescent="0.25">
      <c r="A60" s="5" t="s">
        <v>137</v>
      </c>
      <c r="B60" s="74"/>
      <c r="C60" s="73"/>
      <c r="D60" s="7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48"/>
      <c r="AB60" s="48"/>
      <c r="AC60" s="48"/>
      <c r="AD60" s="48"/>
      <c r="AE60" s="48"/>
      <c r="AF60" s="48"/>
    </row>
    <row r="61" spans="1:32" s="29" customFormat="1" ht="14.45" hidden="1" customHeight="1" x14ac:dyDescent="0.25">
      <c r="A61" s="5" t="s">
        <v>138</v>
      </c>
      <c r="B61" s="61"/>
      <c r="C61" s="62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48"/>
      <c r="AB61" s="48"/>
      <c r="AC61" s="48"/>
      <c r="AD61" s="48"/>
      <c r="AE61" s="48"/>
      <c r="AF61" s="48"/>
    </row>
    <row r="62" spans="1:32" s="29" customFormat="1" ht="14.45" hidden="1" customHeight="1" x14ac:dyDescent="0.25">
      <c r="A62" s="5" t="s">
        <v>139</v>
      </c>
      <c r="B62" s="61"/>
      <c r="C62" s="62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48"/>
      <c r="AB62" s="48"/>
      <c r="AC62" s="48"/>
      <c r="AD62" s="48"/>
      <c r="AE62" s="48"/>
      <c r="AF62" s="48"/>
    </row>
    <row r="63" spans="1:32" s="29" customFormat="1" ht="14.45" hidden="1" customHeight="1" x14ac:dyDescent="0.25">
      <c r="A63" s="5" t="s">
        <v>142</v>
      </c>
      <c r="B63" s="61"/>
      <c r="C63" s="62"/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48"/>
      <c r="AB63" s="48"/>
      <c r="AC63" s="48"/>
      <c r="AD63" s="48"/>
      <c r="AE63" s="48"/>
      <c r="AF63" s="48"/>
    </row>
    <row r="64" spans="1:32" s="29" customFormat="1" ht="14.45" hidden="1" customHeight="1" x14ac:dyDescent="0.25">
      <c r="A64" s="5" t="s">
        <v>145</v>
      </c>
      <c r="B64" s="46"/>
      <c r="C64" s="47"/>
      <c r="D64" s="47"/>
      <c r="E64" s="64"/>
      <c r="F64" s="64"/>
      <c r="G64" s="64"/>
      <c r="H64" s="64"/>
      <c r="I64" s="64"/>
      <c r="J64" s="64"/>
      <c r="K64" s="64"/>
      <c r="L64" s="64"/>
      <c r="M64" s="63"/>
      <c r="N64" s="63"/>
      <c r="O64" s="63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9"/>
      <c r="AC64" s="49"/>
      <c r="AD64" s="49"/>
      <c r="AE64" s="48"/>
      <c r="AF64" s="48"/>
    </row>
    <row r="65" spans="1:32" s="29" customFormat="1" ht="14.45" customHeight="1" x14ac:dyDescent="0.25">
      <c r="A65" s="5"/>
      <c r="B65" s="435"/>
      <c r="C65" s="436"/>
      <c r="D65" s="436"/>
      <c r="E65" s="103"/>
      <c r="F65" s="103"/>
      <c r="G65" s="103"/>
      <c r="H65" s="103"/>
      <c r="I65" s="103"/>
      <c r="J65" s="103"/>
      <c r="K65" s="103"/>
      <c r="L65" s="103"/>
      <c r="M65" s="437"/>
      <c r="N65" s="437"/>
      <c r="O65" s="437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438"/>
      <c r="AC65" s="438"/>
      <c r="AD65" s="438"/>
      <c r="AE65" s="104"/>
      <c r="AF65" s="104"/>
    </row>
    <row r="66" spans="1:32" s="29" customFormat="1" ht="14.45" customHeight="1" x14ac:dyDescent="0.25">
      <c r="A66" s="5"/>
      <c r="B66" s="76"/>
      <c r="C66" s="70"/>
      <c r="D66" s="70"/>
      <c r="E66" s="53"/>
      <c r="F66" s="53"/>
      <c r="G66" s="53"/>
      <c r="H66" s="53"/>
      <c r="I66" s="53"/>
      <c r="J66" s="53"/>
      <c r="K66" s="53"/>
      <c r="L66" s="53"/>
      <c r="M66" s="71"/>
      <c r="N66" s="71"/>
      <c r="O66" s="71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190"/>
      <c r="AC66" s="190"/>
      <c r="AD66" s="190"/>
      <c r="AE66" s="54"/>
      <c r="AF66" s="54"/>
    </row>
    <row r="67" spans="1:32" s="29" customFormat="1" ht="14.45" customHeight="1" x14ac:dyDescent="0.25">
      <c r="A67" s="5"/>
      <c r="B67" s="76"/>
      <c r="C67" s="70"/>
      <c r="D67" s="70"/>
      <c r="E67" s="53"/>
      <c r="F67" s="53"/>
      <c r="G67" s="53"/>
      <c r="H67" s="53"/>
      <c r="I67" s="53"/>
      <c r="J67" s="53"/>
      <c r="K67" s="53"/>
      <c r="L67" s="53"/>
      <c r="M67" s="71"/>
      <c r="N67" s="71"/>
      <c r="O67" s="71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190"/>
      <c r="AC67" s="190"/>
      <c r="AD67" s="190"/>
      <c r="AE67" s="54"/>
      <c r="AF67" s="54"/>
    </row>
    <row r="68" spans="1:32" s="29" customFormat="1" ht="14.45" customHeight="1" x14ac:dyDescent="0.25">
      <c r="A68" s="5" t="s">
        <v>602</v>
      </c>
      <c r="B68" s="31" t="s">
        <v>735</v>
      </c>
      <c r="C68" s="70"/>
      <c r="D68" s="70"/>
      <c r="E68" s="53"/>
      <c r="F68" s="53"/>
      <c r="G68" s="53"/>
      <c r="H68" s="53"/>
      <c r="I68" s="53"/>
      <c r="J68" s="53"/>
      <c r="K68" s="53"/>
      <c r="L68" s="53"/>
      <c r="M68" s="71"/>
      <c r="N68" s="71"/>
      <c r="O68" s="71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190"/>
      <c r="AC68" s="190"/>
      <c r="AD68" s="190"/>
      <c r="AE68" s="54"/>
      <c r="AF68" s="54"/>
    </row>
    <row r="69" spans="1:32" s="29" customFormat="1" ht="14.45" customHeight="1" x14ac:dyDescent="0.25">
      <c r="A69" s="5" t="s">
        <v>603</v>
      </c>
      <c r="B69" s="440" t="s">
        <v>736</v>
      </c>
      <c r="C69" s="192"/>
      <c r="D69" s="192"/>
      <c r="E69" s="193"/>
      <c r="F69" s="193"/>
      <c r="G69" s="193"/>
      <c r="H69" s="193"/>
      <c r="I69" s="193"/>
      <c r="J69" s="193"/>
      <c r="K69" s="193"/>
      <c r="L69" s="193"/>
      <c r="M69" s="194"/>
      <c r="N69" s="194"/>
      <c r="O69" s="194"/>
      <c r="P69" s="195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439"/>
      <c r="AC69" s="439"/>
      <c r="AD69" s="439"/>
      <c r="AE69" s="439"/>
      <c r="AF69" s="439"/>
    </row>
    <row r="70" spans="1:32" s="29" customFormat="1" ht="14.45" customHeight="1" x14ac:dyDescent="0.25">
      <c r="A70" s="5" t="s">
        <v>604</v>
      </c>
      <c r="B70" s="434" t="s">
        <v>737</v>
      </c>
      <c r="C70" s="192"/>
      <c r="D70" s="192"/>
      <c r="E70" s="193"/>
      <c r="F70" s="193"/>
      <c r="G70" s="193"/>
      <c r="H70" s="193"/>
      <c r="I70" s="193"/>
      <c r="J70" s="193"/>
      <c r="K70" s="193"/>
      <c r="L70" s="193"/>
      <c r="M70" s="194"/>
      <c r="N70" s="194"/>
      <c r="O70" s="194"/>
      <c r="P70" s="195">
        <v>1</v>
      </c>
      <c r="Q70" s="195">
        <f t="shared" ref="Q70:Q78" si="9">P70</f>
        <v>1</v>
      </c>
      <c r="R70" s="195"/>
      <c r="S70" s="195"/>
      <c r="T70" s="195">
        <v>1</v>
      </c>
      <c r="U70" s="195"/>
      <c r="V70" s="195"/>
      <c r="W70" s="195">
        <f t="shared" ref="W70:W78" si="10">E70+M70+Q70</f>
        <v>1</v>
      </c>
      <c r="X70" s="195"/>
      <c r="Y70" s="195"/>
      <c r="Z70" s="195"/>
      <c r="AA70" s="195"/>
      <c r="AB70" s="439">
        <f t="shared" ref="AB70:AB78" si="11">T70+X70/2</f>
        <v>1</v>
      </c>
      <c r="AC70" s="439"/>
      <c r="AD70" s="439"/>
      <c r="AE70" s="439"/>
      <c r="AF70" s="439">
        <f t="shared" ref="AF70:AF78" si="12">W70+AA70/2</f>
        <v>1</v>
      </c>
    </row>
    <row r="71" spans="1:32" s="29" customFormat="1" ht="14.45" customHeight="1" x14ac:dyDescent="0.25">
      <c r="A71" s="5" t="s">
        <v>605</v>
      </c>
      <c r="B71" s="434" t="s">
        <v>738</v>
      </c>
      <c r="C71" s="192"/>
      <c r="D71" s="192"/>
      <c r="E71" s="193"/>
      <c r="F71" s="193"/>
      <c r="G71" s="193"/>
      <c r="H71" s="193"/>
      <c r="I71" s="193"/>
      <c r="J71" s="193"/>
      <c r="K71" s="193"/>
      <c r="L71" s="193"/>
      <c r="M71" s="194"/>
      <c r="N71" s="194"/>
      <c r="O71" s="194"/>
      <c r="P71" s="195">
        <v>1</v>
      </c>
      <c r="Q71" s="195">
        <f t="shared" si="9"/>
        <v>1</v>
      </c>
      <c r="R71" s="195"/>
      <c r="S71" s="195"/>
      <c r="T71" s="195">
        <v>1</v>
      </c>
      <c r="U71" s="195"/>
      <c r="V71" s="195"/>
      <c r="W71" s="195">
        <f t="shared" si="10"/>
        <v>1</v>
      </c>
      <c r="X71" s="195"/>
      <c r="Y71" s="195"/>
      <c r="Z71" s="195"/>
      <c r="AA71" s="195"/>
      <c r="AB71" s="439">
        <f t="shared" si="11"/>
        <v>1</v>
      </c>
      <c r="AC71" s="439"/>
      <c r="AD71" s="439"/>
      <c r="AE71" s="439"/>
      <c r="AF71" s="439">
        <f t="shared" si="12"/>
        <v>1</v>
      </c>
    </row>
    <row r="72" spans="1:32" s="29" customFormat="1" ht="14.45" customHeight="1" x14ac:dyDescent="0.25">
      <c r="A72" s="5" t="s">
        <v>606</v>
      </c>
      <c r="B72" s="434" t="s">
        <v>739</v>
      </c>
      <c r="C72" s="192"/>
      <c r="D72" s="192"/>
      <c r="E72" s="193"/>
      <c r="F72" s="193"/>
      <c r="G72" s="193"/>
      <c r="H72" s="193"/>
      <c r="I72" s="193"/>
      <c r="J72" s="193"/>
      <c r="K72" s="193"/>
      <c r="L72" s="193"/>
      <c r="M72" s="194"/>
      <c r="N72" s="194"/>
      <c r="O72" s="194"/>
      <c r="P72" s="195">
        <v>2</v>
      </c>
      <c r="Q72" s="195">
        <f t="shared" si="9"/>
        <v>2</v>
      </c>
      <c r="R72" s="195"/>
      <c r="S72" s="195"/>
      <c r="T72" s="195">
        <v>2</v>
      </c>
      <c r="U72" s="195"/>
      <c r="V72" s="195"/>
      <c r="W72" s="195">
        <f t="shared" si="10"/>
        <v>2</v>
      </c>
      <c r="X72" s="195"/>
      <c r="Y72" s="195"/>
      <c r="Z72" s="195"/>
      <c r="AA72" s="195"/>
      <c r="AB72" s="439">
        <f t="shared" si="11"/>
        <v>2</v>
      </c>
      <c r="AC72" s="439"/>
      <c r="AD72" s="439"/>
      <c r="AE72" s="439"/>
      <c r="AF72" s="439">
        <f t="shared" si="12"/>
        <v>2</v>
      </c>
    </row>
    <row r="73" spans="1:32" s="29" customFormat="1" ht="14.45" customHeight="1" x14ac:dyDescent="0.25">
      <c r="A73" s="5" t="s">
        <v>607</v>
      </c>
      <c r="B73" s="434" t="s">
        <v>740</v>
      </c>
      <c r="C73" s="192"/>
      <c r="D73" s="192"/>
      <c r="E73" s="193"/>
      <c r="F73" s="193"/>
      <c r="G73" s="193"/>
      <c r="H73" s="193"/>
      <c r="I73" s="193"/>
      <c r="J73" s="193"/>
      <c r="K73" s="193"/>
      <c r="L73" s="193"/>
      <c r="M73" s="194"/>
      <c r="N73" s="194"/>
      <c r="O73" s="194"/>
      <c r="P73" s="195">
        <v>1</v>
      </c>
      <c r="Q73" s="195">
        <f t="shared" si="9"/>
        <v>1</v>
      </c>
      <c r="R73" s="195"/>
      <c r="S73" s="195"/>
      <c r="T73" s="195">
        <v>1</v>
      </c>
      <c r="U73" s="195"/>
      <c r="V73" s="195"/>
      <c r="W73" s="195">
        <f t="shared" si="10"/>
        <v>1</v>
      </c>
      <c r="X73" s="195"/>
      <c r="Y73" s="195"/>
      <c r="Z73" s="195"/>
      <c r="AA73" s="195"/>
      <c r="AB73" s="439">
        <f t="shared" si="11"/>
        <v>1</v>
      </c>
      <c r="AC73" s="439"/>
      <c r="AD73" s="439"/>
      <c r="AE73" s="439"/>
      <c r="AF73" s="439">
        <f t="shared" si="12"/>
        <v>1</v>
      </c>
    </row>
    <row r="74" spans="1:32" s="29" customFormat="1" ht="14.45" customHeight="1" x14ac:dyDescent="0.25">
      <c r="A74" s="5" t="s">
        <v>608</v>
      </c>
      <c r="B74" s="434" t="s">
        <v>741</v>
      </c>
      <c r="C74" s="192"/>
      <c r="D74" s="192"/>
      <c r="E74" s="193"/>
      <c r="F74" s="193"/>
      <c r="G74" s="193"/>
      <c r="H74" s="193"/>
      <c r="I74" s="193"/>
      <c r="J74" s="193"/>
      <c r="K74" s="193"/>
      <c r="L74" s="193"/>
      <c r="M74" s="194"/>
      <c r="N74" s="194"/>
      <c r="O74" s="194"/>
      <c r="P74" s="195">
        <v>1</v>
      </c>
      <c r="Q74" s="195">
        <f t="shared" si="9"/>
        <v>1</v>
      </c>
      <c r="R74" s="195"/>
      <c r="S74" s="195"/>
      <c r="T74" s="195">
        <v>1</v>
      </c>
      <c r="U74" s="195"/>
      <c r="V74" s="195"/>
      <c r="W74" s="195">
        <f t="shared" si="10"/>
        <v>1</v>
      </c>
      <c r="X74" s="195"/>
      <c r="Y74" s="195"/>
      <c r="Z74" s="195"/>
      <c r="AA74" s="195"/>
      <c r="AB74" s="439">
        <f t="shared" si="11"/>
        <v>1</v>
      </c>
      <c r="AC74" s="439"/>
      <c r="AD74" s="439"/>
      <c r="AE74" s="439"/>
      <c r="AF74" s="439">
        <f t="shared" si="12"/>
        <v>1</v>
      </c>
    </row>
    <row r="75" spans="1:32" s="29" customFormat="1" ht="14.45" customHeight="1" x14ac:dyDescent="0.25">
      <c r="A75" s="5" t="s">
        <v>663</v>
      </c>
      <c r="B75" s="434" t="s">
        <v>1150</v>
      </c>
      <c r="C75" s="192"/>
      <c r="D75" s="192"/>
      <c r="E75" s="193"/>
      <c r="F75" s="193"/>
      <c r="G75" s="193"/>
      <c r="H75" s="193"/>
      <c r="I75" s="193"/>
      <c r="J75" s="193"/>
      <c r="K75" s="193"/>
      <c r="L75" s="193"/>
      <c r="M75" s="194"/>
      <c r="N75" s="194"/>
      <c r="O75" s="194"/>
      <c r="P75" s="195">
        <v>1</v>
      </c>
      <c r="Q75" s="195">
        <f t="shared" si="9"/>
        <v>1</v>
      </c>
      <c r="R75" s="195"/>
      <c r="S75" s="195"/>
      <c r="T75" s="195">
        <v>1</v>
      </c>
      <c r="U75" s="195"/>
      <c r="V75" s="195"/>
      <c r="W75" s="195">
        <f t="shared" si="10"/>
        <v>1</v>
      </c>
      <c r="X75" s="195"/>
      <c r="Y75" s="195"/>
      <c r="Z75" s="195"/>
      <c r="AA75" s="195"/>
      <c r="AB75" s="439">
        <f t="shared" si="11"/>
        <v>1</v>
      </c>
      <c r="AC75" s="439"/>
      <c r="AD75" s="439"/>
      <c r="AE75" s="439"/>
      <c r="AF75" s="439">
        <f t="shared" si="12"/>
        <v>1</v>
      </c>
    </row>
    <row r="76" spans="1:32" s="29" customFormat="1" ht="14.45" customHeight="1" x14ac:dyDescent="0.25">
      <c r="A76" s="5" t="s">
        <v>664</v>
      </c>
      <c r="B76" s="434" t="s">
        <v>1151</v>
      </c>
      <c r="C76" s="192"/>
      <c r="D76" s="192"/>
      <c r="E76" s="193"/>
      <c r="F76" s="193"/>
      <c r="G76" s="193"/>
      <c r="H76" s="193"/>
      <c r="I76" s="193"/>
      <c r="J76" s="193"/>
      <c r="K76" s="193"/>
      <c r="L76" s="193"/>
      <c r="M76" s="194"/>
      <c r="N76" s="194"/>
      <c r="O76" s="194"/>
      <c r="P76" s="195">
        <v>1</v>
      </c>
      <c r="Q76" s="195">
        <f t="shared" si="9"/>
        <v>1</v>
      </c>
      <c r="R76" s="195"/>
      <c r="S76" s="195"/>
      <c r="T76" s="195">
        <v>1</v>
      </c>
      <c r="U76" s="195"/>
      <c r="V76" s="195"/>
      <c r="W76" s="195">
        <f t="shared" si="10"/>
        <v>1</v>
      </c>
      <c r="X76" s="195"/>
      <c r="Y76" s="195"/>
      <c r="Z76" s="195"/>
      <c r="AA76" s="195"/>
      <c r="AB76" s="439">
        <f t="shared" si="11"/>
        <v>1</v>
      </c>
      <c r="AC76" s="439"/>
      <c r="AD76" s="439"/>
      <c r="AE76" s="439"/>
      <c r="AF76" s="439">
        <f t="shared" si="12"/>
        <v>1</v>
      </c>
    </row>
    <row r="77" spans="1:32" s="29" customFormat="1" ht="14.45" customHeight="1" x14ac:dyDescent="0.25">
      <c r="A77" s="5" t="s">
        <v>665</v>
      </c>
      <c r="B77" s="434" t="s">
        <v>742</v>
      </c>
      <c r="C77" s="192"/>
      <c r="D77" s="192"/>
      <c r="E77" s="193"/>
      <c r="F77" s="193"/>
      <c r="G77" s="193"/>
      <c r="H77" s="193"/>
      <c r="I77" s="193"/>
      <c r="J77" s="193"/>
      <c r="K77" s="193"/>
      <c r="L77" s="193"/>
      <c r="M77" s="194"/>
      <c r="N77" s="194"/>
      <c r="O77" s="194"/>
      <c r="P77" s="195">
        <v>1</v>
      </c>
      <c r="Q77" s="195">
        <f t="shared" si="9"/>
        <v>1</v>
      </c>
      <c r="R77" s="195"/>
      <c r="S77" s="195"/>
      <c r="T77" s="195">
        <v>1</v>
      </c>
      <c r="U77" s="195"/>
      <c r="V77" s="195"/>
      <c r="W77" s="195">
        <f t="shared" si="10"/>
        <v>1</v>
      </c>
      <c r="X77" s="195"/>
      <c r="Y77" s="195"/>
      <c r="Z77" s="195"/>
      <c r="AA77" s="195"/>
      <c r="AB77" s="439">
        <f t="shared" si="11"/>
        <v>1</v>
      </c>
      <c r="AC77" s="439"/>
      <c r="AD77" s="439"/>
      <c r="AE77" s="439"/>
      <c r="AF77" s="439">
        <f t="shared" si="12"/>
        <v>1</v>
      </c>
    </row>
    <row r="78" spans="1:32" s="29" customFormat="1" ht="14.45" customHeight="1" x14ac:dyDescent="0.25">
      <c r="A78" s="5" t="s">
        <v>666</v>
      </c>
      <c r="B78" s="434" t="s">
        <v>743</v>
      </c>
      <c r="C78" s="192"/>
      <c r="D78" s="192"/>
      <c r="E78" s="193"/>
      <c r="F78" s="193"/>
      <c r="G78" s="193"/>
      <c r="H78" s="193"/>
      <c r="I78" s="193"/>
      <c r="J78" s="193"/>
      <c r="K78" s="193"/>
      <c r="L78" s="193"/>
      <c r="M78" s="194"/>
      <c r="N78" s="194"/>
      <c r="O78" s="194"/>
      <c r="P78" s="195">
        <v>1</v>
      </c>
      <c r="Q78" s="195">
        <f t="shared" si="9"/>
        <v>1</v>
      </c>
      <c r="R78" s="195"/>
      <c r="S78" s="195"/>
      <c r="T78" s="195">
        <v>1</v>
      </c>
      <c r="U78" s="195"/>
      <c r="V78" s="195"/>
      <c r="W78" s="195">
        <f t="shared" si="10"/>
        <v>1</v>
      </c>
      <c r="X78" s="195"/>
      <c r="Y78" s="195"/>
      <c r="Z78" s="195"/>
      <c r="AA78" s="195"/>
      <c r="AB78" s="439">
        <f t="shared" si="11"/>
        <v>1</v>
      </c>
      <c r="AC78" s="439"/>
      <c r="AD78" s="439"/>
      <c r="AE78" s="439"/>
      <c r="AF78" s="439">
        <f t="shared" si="12"/>
        <v>1</v>
      </c>
    </row>
    <row r="79" spans="1:32" s="29" customFormat="1" ht="14.45" customHeight="1" x14ac:dyDescent="0.25">
      <c r="A79" s="5" t="s">
        <v>125</v>
      </c>
      <c r="B79" s="440" t="s">
        <v>744</v>
      </c>
      <c r="C79" s="192"/>
      <c r="D79" s="192"/>
      <c r="E79" s="193"/>
      <c r="F79" s="193"/>
      <c r="G79" s="193"/>
      <c r="H79" s="193"/>
      <c r="I79" s="193"/>
      <c r="J79" s="193"/>
      <c r="K79" s="193"/>
      <c r="L79" s="193"/>
      <c r="M79" s="194"/>
      <c r="N79" s="194"/>
      <c r="O79" s="194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439"/>
      <c r="AC79" s="439"/>
      <c r="AD79" s="439"/>
      <c r="AE79" s="439"/>
      <c r="AF79" s="439"/>
    </row>
    <row r="80" spans="1:32" s="29" customFormat="1" ht="14.45" customHeight="1" x14ac:dyDescent="0.25">
      <c r="A80" s="5" t="s">
        <v>692</v>
      </c>
      <c r="B80" s="434" t="s">
        <v>745</v>
      </c>
      <c r="C80" s="192"/>
      <c r="D80" s="192"/>
      <c r="E80" s="193"/>
      <c r="F80" s="193"/>
      <c r="G80" s="193"/>
      <c r="H80" s="193"/>
      <c r="I80" s="193"/>
      <c r="J80" s="193"/>
      <c r="K80" s="193"/>
      <c r="L80" s="193"/>
      <c r="M80" s="194"/>
      <c r="N80" s="194"/>
      <c r="O80" s="194"/>
      <c r="P80" s="195">
        <v>1</v>
      </c>
      <c r="Q80" s="195">
        <f t="shared" ref="Q80:Q87" si="13">P80</f>
        <v>1</v>
      </c>
      <c r="R80" s="195"/>
      <c r="S80" s="195"/>
      <c r="T80" s="195">
        <v>1</v>
      </c>
      <c r="U80" s="195"/>
      <c r="V80" s="195"/>
      <c r="W80" s="195">
        <f t="shared" ref="W80:W87" si="14">E80+M80+Q80</f>
        <v>1</v>
      </c>
      <c r="X80" s="195"/>
      <c r="Y80" s="195"/>
      <c r="Z80" s="195"/>
      <c r="AA80" s="195"/>
      <c r="AB80" s="439">
        <f t="shared" ref="AB80:AB87" si="15">T80+X80/2</f>
        <v>1</v>
      </c>
      <c r="AC80" s="439"/>
      <c r="AD80" s="439"/>
      <c r="AE80" s="439"/>
      <c r="AF80" s="439">
        <f t="shared" ref="AF80:AF87" si="16">W80+AA80/2</f>
        <v>1</v>
      </c>
    </row>
    <row r="81" spans="1:32" s="29" customFormat="1" ht="14.45" customHeight="1" x14ac:dyDescent="0.25">
      <c r="A81" s="5" t="s">
        <v>693</v>
      </c>
      <c r="B81" s="434" t="s">
        <v>746</v>
      </c>
      <c r="C81" s="192"/>
      <c r="D81" s="192"/>
      <c r="E81" s="193"/>
      <c r="F81" s="193"/>
      <c r="G81" s="193"/>
      <c r="H81" s="193"/>
      <c r="I81" s="193"/>
      <c r="J81" s="193"/>
      <c r="K81" s="193"/>
      <c r="L81" s="193"/>
      <c r="M81" s="194"/>
      <c r="N81" s="194"/>
      <c r="O81" s="194"/>
      <c r="P81" s="195">
        <v>1</v>
      </c>
      <c r="Q81" s="195">
        <f t="shared" si="13"/>
        <v>1</v>
      </c>
      <c r="R81" s="195"/>
      <c r="S81" s="195"/>
      <c r="T81" s="195">
        <v>1</v>
      </c>
      <c r="U81" s="195"/>
      <c r="V81" s="195"/>
      <c r="W81" s="195">
        <f t="shared" si="14"/>
        <v>1</v>
      </c>
      <c r="X81" s="195"/>
      <c r="Y81" s="195"/>
      <c r="Z81" s="195"/>
      <c r="AA81" s="195"/>
      <c r="AB81" s="439">
        <f t="shared" si="15"/>
        <v>1</v>
      </c>
      <c r="AC81" s="439"/>
      <c r="AD81" s="439"/>
      <c r="AE81" s="439"/>
      <c r="AF81" s="439">
        <f t="shared" si="16"/>
        <v>1</v>
      </c>
    </row>
    <row r="82" spans="1:32" s="29" customFormat="1" ht="14.45" customHeight="1" x14ac:dyDescent="0.25">
      <c r="A82" s="5" t="s">
        <v>128</v>
      </c>
      <c r="B82" s="434" t="s">
        <v>747</v>
      </c>
      <c r="C82" s="192"/>
      <c r="D82" s="192"/>
      <c r="E82" s="193"/>
      <c r="F82" s="193"/>
      <c r="G82" s="193"/>
      <c r="H82" s="193"/>
      <c r="I82" s="193"/>
      <c r="J82" s="193"/>
      <c r="K82" s="193"/>
      <c r="L82" s="193"/>
      <c r="M82" s="194"/>
      <c r="N82" s="194"/>
      <c r="O82" s="194"/>
      <c r="P82" s="195">
        <v>1</v>
      </c>
      <c r="Q82" s="195">
        <f t="shared" si="13"/>
        <v>1</v>
      </c>
      <c r="R82" s="195"/>
      <c r="S82" s="195"/>
      <c r="T82" s="195">
        <v>1</v>
      </c>
      <c r="U82" s="195"/>
      <c r="V82" s="195"/>
      <c r="W82" s="195">
        <f t="shared" si="14"/>
        <v>1</v>
      </c>
      <c r="X82" s="195"/>
      <c r="Y82" s="195"/>
      <c r="Z82" s="195"/>
      <c r="AA82" s="195"/>
      <c r="AB82" s="439">
        <f t="shared" si="15"/>
        <v>1</v>
      </c>
      <c r="AC82" s="439"/>
      <c r="AD82" s="439"/>
      <c r="AE82" s="439"/>
      <c r="AF82" s="439">
        <f t="shared" si="16"/>
        <v>1</v>
      </c>
    </row>
    <row r="83" spans="1:32" s="29" customFormat="1" ht="14.45" customHeight="1" x14ac:dyDescent="0.25">
      <c r="A83" s="5" t="s">
        <v>129</v>
      </c>
      <c r="B83" s="440" t="s">
        <v>748</v>
      </c>
      <c r="C83" s="192"/>
      <c r="D83" s="192"/>
      <c r="E83" s="193"/>
      <c r="F83" s="193"/>
      <c r="G83" s="193"/>
      <c r="H83" s="193"/>
      <c r="I83" s="193"/>
      <c r="J83" s="193"/>
      <c r="K83" s="193"/>
      <c r="L83" s="193"/>
      <c r="M83" s="194"/>
      <c r="N83" s="194"/>
      <c r="O83" s="194"/>
      <c r="P83" s="195"/>
      <c r="Q83" s="195">
        <f t="shared" si="13"/>
        <v>0</v>
      </c>
      <c r="R83" s="195"/>
      <c r="S83" s="195"/>
      <c r="T83" s="195"/>
      <c r="U83" s="195"/>
      <c r="V83" s="195"/>
      <c r="W83" s="195">
        <f t="shared" si="14"/>
        <v>0</v>
      </c>
      <c r="X83" s="195"/>
      <c r="Y83" s="195"/>
      <c r="Z83" s="195"/>
      <c r="AA83" s="195"/>
      <c r="AB83" s="439">
        <f t="shared" si="15"/>
        <v>0</v>
      </c>
      <c r="AC83" s="439"/>
      <c r="AD83" s="439"/>
      <c r="AE83" s="439"/>
      <c r="AF83" s="439">
        <f t="shared" si="16"/>
        <v>0</v>
      </c>
    </row>
    <row r="84" spans="1:32" s="29" customFormat="1" ht="14.45" customHeight="1" x14ac:dyDescent="0.25">
      <c r="A84" s="5" t="s">
        <v>130</v>
      </c>
      <c r="B84" s="434" t="s">
        <v>749</v>
      </c>
      <c r="C84" s="192"/>
      <c r="D84" s="192"/>
      <c r="E84" s="193"/>
      <c r="F84" s="193"/>
      <c r="G84" s="193"/>
      <c r="H84" s="193"/>
      <c r="I84" s="193"/>
      <c r="J84" s="193"/>
      <c r="K84" s="193"/>
      <c r="L84" s="193"/>
      <c r="M84" s="194"/>
      <c r="N84" s="194"/>
      <c r="O84" s="194"/>
      <c r="P84" s="195">
        <v>1</v>
      </c>
      <c r="Q84" s="195">
        <f t="shared" si="13"/>
        <v>1</v>
      </c>
      <c r="R84" s="195"/>
      <c r="S84" s="195"/>
      <c r="T84" s="195">
        <v>1</v>
      </c>
      <c r="U84" s="195"/>
      <c r="V84" s="195"/>
      <c r="W84" s="195">
        <f t="shared" si="14"/>
        <v>1</v>
      </c>
      <c r="X84" s="195"/>
      <c r="Y84" s="195"/>
      <c r="Z84" s="195"/>
      <c r="AA84" s="195"/>
      <c r="AB84" s="439">
        <f t="shared" si="15"/>
        <v>1</v>
      </c>
      <c r="AC84" s="439"/>
      <c r="AD84" s="439"/>
      <c r="AE84" s="439"/>
      <c r="AF84" s="439">
        <f t="shared" si="16"/>
        <v>1</v>
      </c>
    </row>
    <row r="85" spans="1:32" s="29" customFormat="1" ht="14.45" customHeight="1" x14ac:dyDescent="0.25">
      <c r="A85" s="5" t="s">
        <v>133</v>
      </c>
      <c r="B85" s="434" t="s">
        <v>750</v>
      </c>
      <c r="C85" s="192"/>
      <c r="D85" s="192"/>
      <c r="E85" s="193"/>
      <c r="F85" s="193"/>
      <c r="G85" s="193"/>
      <c r="H85" s="193"/>
      <c r="I85" s="193"/>
      <c r="J85" s="193"/>
      <c r="K85" s="193"/>
      <c r="L85" s="193"/>
      <c r="M85" s="194"/>
      <c r="N85" s="194"/>
      <c r="O85" s="194"/>
      <c r="P85" s="195">
        <v>1</v>
      </c>
      <c r="Q85" s="195">
        <f t="shared" si="13"/>
        <v>1</v>
      </c>
      <c r="R85" s="195"/>
      <c r="S85" s="195"/>
      <c r="T85" s="195">
        <v>1</v>
      </c>
      <c r="U85" s="195"/>
      <c r="V85" s="195"/>
      <c r="W85" s="195">
        <f t="shared" si="14"/>
        <v>1</v>
      </c>
      <c r="X85" s="195"/>
      <c r="Y85" s="195"/>
      <c r="Z85" s="195"/>
      <c r="AA85" s="195"/>
      <c r="AB85" s="439">
        <f t="shared" si="15"/>
        <v>1</v>
      </c>
      <c r="AC85" s="439"/>
      <c r="AD85" s="439"/>
      <c r="AE85" s="439"/>
      <c r="AF85" s="439">
        <f t="shared" si="16"/>
        <v>1</v>
      </c>
    </row>
    <row r="86" spans="1:32" s="29" customFormat="1" ht="14.45" customHeight="1" x14ac:dyDescent="0.25">
      <c r="A86" s="5" t="s">
        <v>136</v>
      </c>
      <c r="B86" s="434" t="s">
        <v>751</v>
      </c>
      <c r="C86" s="192"/>
      <c r="D86" s="192"/>
      <c r="E86" s="193"/>
      <c r="F86" s="193"/>
      <c r="G86" s="193"/>
      <c r="H86" s="193"/>
      <c r="I86" s="193"/>
      <c r="J86" s="193"/>
      <c r="K86" s="193"/>
      <c r="L86" s="193"/>
      <c r="M86" s="194"/>
      <c r="N86" s="194"/>
      <c r="O86" s="194"/>
      <c r="P86" s="195">
        <v>3</v>
      </c>
      <c r="Q86" s="195">
        <f t="shared" si="13"/>
        <v>3</v>
      </c>
      <c r="R86" s="195"/>
      <c r="S86" s="195"/>
      <c r="T86" s="195">
        <v>3</v>
      </c>
      <c r="U86" s="195"/>
      <c r="V86" s="195"/>
      <c r="W86" s="195">
        <f t="shared" si="14"/>
        <v>3</v>
      </c>
      <c r="X86" s="195"/>
      <c r="Y86" s="195"/>
      <c r="Z86" s="195"/>
      <c r="AA86" s="195"/>
      <c r="AB86" s="439">
        <f t="shared" si="15"/>
        <v>3</v>
      </c>
      <c r="AC86" s="439"/>
      <c r="AD86" s="439"/>
      <c r="AE86" s="439"/>
      <c r="AF86" s="439">
        <f t="shared" si="16"/>
        <v>3</v>
      </c>
    </row>
    <row r="87" spans="1:32" s="29" customFormat="1" ht="14.45" customHeight="1" x14ac:dyDescent="0.25">
      <c r="A87" s="5" t="s">
        <v>137</v>
      </c>
      <c r="B87" s="434" t="s">
        <v>956</v>
      </c>
      <c r="C87" s="192"/>
      <c r="D87" s="192"/>
      <c r="E87" s="193"/>
      <c r="F87" s="193"/>
      <c r="G87" s="193"/>
      <c r="H87" s="193"/>
      <c r="I87" s="193"/>
      <c r="J87" s="193"/>
      <c r="K87" s="193"/>
      <c r="L87" s="193"/>
      <c r="M87" s="194"/>
      <c r="N87" s="194"/>
      <c r="O87" s="194"/>
      <c r="P87" s="195">
        <v>1</v>
      </c>
      <c r="Q87" s="195">
        <f t="shared" si="13"/>
        <v>1</v>
      </c>
      <c r="R87" s="195"/>
      <c r="S87" s="195"/>
      <c r="T87" s="195">
        <v>1</v>
      </c>
      <c r="U87" s="195"/>
      <c r="V87" s="195"/>
      <c r="W87" s="195">
        <f t="shared" si="14"/>
        <v>1</v>
      </c>
      <c r="X87" s="195"/>
      <c r="Y87" s="195"/>
      <c r="Z87" s="195"/>
      <c r="AA87" s="195"/>
      <c r="AB87" s="439">
        <f t="shared" si="15"/>
        <v>1</v>
      </c>
      <c r="AC87" s="439"/>
      <c r="AD87" s="439"/>
      <c r="AE87" s="439"/>
      <c r="AF87" s="439">
        <f t="shared" si="16"/>
        <v>1</v>
      </c>
    </row>
    <row r="88" spans="1:32" s="29" customFormat="1" ht="14.45" customHeight="1" x14ac:dyDescent="0.25">
      <c r="A88" s="5" t="s">
        <v>138</v>
      </c>
      <c r="B88" s="440" t="s">
        <v>752</v>
      </c>
      <c r="C88" s="192"/>
      <c r="D88" s="192"/>
      <c r="E88" s="193"/>
      <c r="F88" s="193"/>
      <c r="G88" s="193"/>
      <c r="H88" s="193"/>
      <c r="I88" s="193"/>
      <c r="J88" s="193"/>
      <c r="K88" s="193"/>
      <c r="L88" s="193"/>
      <c r="M88" s="194"/>
      <c r="N88" s="194"/>
      <c r="O88" s="194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439"/>
      <c r="AC88" s="439"/>
      <c r="AD88" s="439"/>
      <c r="AE88" s="439"/>
      <c r="AF88" s="439"/>
    </row>
    <row r="89" spans="1:32" s="29" customFormat="1" ht="14.45" customHeight="1" x14ac:dyDescent="0.25">
      <c r="A89" s="5" t="s">
        <v>139</v>
      </c>
      <c r="B89" s="434" t="s">
        <v>753</v>
      </c>
      <c r="C89" s="192"/>
      <c r="D89" s="192"/>
      <c r="E89" s="193"/>
      <c r="F89" s="193"/>
      <c r="G89" s="193"/>
      <c r="H89" s="193"/>
      <c r="I89" s="193"/>
      <c r="J89" s="193"/>
      <c r="K89" s="193"/>
      <c r="L89" s="193"/>
      <c r="M89" s="194"/>
      <c r="N89" s="194"/>
      <c r="O89" s="194"/>
      <c r="P89" s="195">
        <v>1</v>
      </c>
      <c r="Q89" s="195">
        <f>P89</f>
        <v>1</v>
      </c>
      <c r="R89" s="195"/>
      <c r="S89" s="195"/>
      <c r="T89" s="195">
        <v>1</v>
      </c>
      <c r="U89" s="195"/>
      <c r="V89" s="195"/>
      <c r="W89" s="195">
        <f>E89+M89+Q89</f>
        <v>1</v>
      </c>
      <c r="X89" s="195"/>
      <c r="Y89" s="195"/>
      <c r="Z89" s="195"/>
      <c r="AA89" s="195"/>
      <c r="AB89" s="439">
        <f>T89+X89/2</f>
        <v>1</v>
      </c>
      <c r="AC89" s="439"/>
      <c r="AD89" s="439"/>
      <c r="AE89" s="439"/>
      <c r="AF89" s="439">
        <f>W89+AA89/2</f>
        <v>1</v>
      </c>
    </row>
    <row r="90" spans="1:32" s="29" customFormat="1" ht="14.45" customHeight="1" x14ac:dyDescent="0.25">
      <c r="A90" s="5" t="s">
        <v>142</v>
      </c>
      <c r="B90" s="434" t="s">
        <v>754</v>
      </c>
      <c r="C90" s="192"/>
      <c r="D90" s="192"/>
      <c r="E90" s="193"/>
      <c r="F90" s="193"/>
      <c r="G90" s="193"/>
      <c r="H90" s="193"/>
      <c r="I90" s="193"/>
      <c r="J90" s="193"/>
      <c r="K90" s="193"/>
      <c r="L90" s="193"/>
      <c r="M90" s="194"/>
      <c r="N90" s="194"/>
      <c r="O90" s="194"/>
      <c r="P90" s="195">
        <v>2</v>
      </c>
      <c r="Q90" s="195">
        <f>P90</f>
        <v>2</v>
      </c>
      <c r="R90" s="195"/>
      <c r="S90" s="195"/>
      <c r="T90" s="195">
        <v>2</v>
      </c>
      <c r="U90" s="195"/>
      <c r="V90" s="195"/>
      <c r="W90" s="195">
        <f>E90+M90+Q90</f>
        <v>2</v>
      </c>
      <c r="X90" s="195"/>
      <c r="Y90" s="195"/>
      <c r="Z90" s="195"/>
      <c r="AA90" s="195"/>
      <c r="AB90" s="439">
        <f>T90+X90/2</f>
        <v>2</v>
      </c>
      <c r="AC90" s="439"/>
      <c r="AD90" s="439"/>
      <c r="AE90" s="439"/>
      <c r="AF90" s="439">
        <f>W90+AA90/2</f>
        <v>2</v>
      </c>
    </row>
    <row r="91" spans="1:32" s="29" customFormat="1" ht="14.45" customHeight="1" x14ac:dyDescent="0.25">
      <c r="A91" s="5" t="s">
        <v>145</v>
      </c>
      <c r="B91" s="434" t="s">
        <v>755</v>
      </c>
      <c r="C91" s="192"/>
      <c r="D91" s="192"/>
      <c r="E91" s="193"/>
      <c r="F91" s="193"/>
      <c r="G91" s="193"/>
      <c r="H91" s="193"/>
      <c r="I91" s="193"/>
      <c r="J91" s="193"/>
      <c r="K91" s="193"/>
      <c r="L91" s="193"/>
      <c r="M91" s="194"/>
      <c r="N91" s="194"/>
      <c r="O91" s="194"/>
      <c r="P91" s="195">
        <v>1</v>
      </c>
      <c r="Q91" s="195">
        <f>P91</f>
        <v>1</v>
      </c>
      <c r="R91" s="195"/>
      <c r="S91" s="195"/>
      <c r="T91" s="195">
        <v>1</v>
      </c>
      <c r="U91" s="195"/>
      <c r="V91" s="195"/>
      <c r="W91" s="195">
        <f>E91+M91+Q91</f>
        <v>1</v>
      </c>
      <c r="X91" s="195"/>
      <c r="Y91" s="195"/>
      <c r="Z91" s="195"/>
      <c r="AA91" s="195"/>
      <c r="AB91" s="439">
        <f>T91+X91/2</f>
        <v>1</v>
      </c>
      <c r="AC91" s="439"/>
      <c r="AD91" s="439"/>
      <c r="AE91" s="439"/>
      <c r="AF91" s="439">
        <f>W91+AA91/2</f>
        <v>1</v>
      </c>
    </row>
    <row r="92" spans="1:32" s="29" customFormat="1" ht="14.45" customHeight="1" x14ac:dyDescent="0.25">
      <c r="A92" s="5" t="s">
        <v>148</v>
      </c>
      <c r="B92" s="687" t="s">
        <v>1184</v>
      </c>
      <c r="C92" s="688"/>
      <c r="D92" s="688"/>
      <c r="E92" s="689"/>
      <c r="F92" s="689"/>
      <c r="G92" s="689"/>
      <c r="H92" s="689"/>
      <c r="I92" s="689"/>
      <c r="J92" s="689"/>
      <c r="K92" s="689"/>
      <c r="L92" s="689"/>
      <c r="M92" s="690"/>
      <c r="N92" s="690"/>
      <c r="O92" s="690"/>
      <c r="P92" s="691">
        <v>0.5</v>
      </c>
      <c r="Q92" s="691">
        <f>P92</f>
        <v>0.5</v>
      </c>
      <c r="R92" s="691"/>
      <c r="S92" s="691"/>
      <c r="T92" s="691">
        <f>P92+R92</f>
        <v>0.5</v>
      </c>
      <c r="U92" s="691"/>
      <c r="V92" s="691"/>
      <c r="W92" s="691">
        <f>E92+M92+Q92</f>
        <v>0.5</v>
      </c>
      <c r="X92" s="691"/>
      <c r="Y92" s="691"/>
      <c r="Z92" s="691"/>
      <c r="AA92" s="691"/>
      <c r="AB92" s="692">
        <f>T92+X92</f>
        <v>0.5</v>
      </c>
      <c r="AC92" s="692"/>
      <c r="AD92" s="692"/>
      <c r="AE92" s="693"/>
      <c r="AF92" s="694">
        <f>W92+AA92/2</f>
        <v>0.5</v>
      </c>
    </row>
    <row r="93" spans="1:32" s="29" customFormat="1" ht="14.45" customHeight="1" x14ac:dyDescent="0.25">
      <c r="A93" s="5" t="s">
        <v>149</v>
      </c>
      <c r="B93" s="188" t="s">
        <v>756</v>
      </c>
      <c r="C93" s="192"/>
      <c r="D93" s="192"/>
      <c r="E93" s="193"/>
      <c r="F93" s="193"/>
      <c r="G93" s="193"/>
      <c r="H93" s="193"/>
      <c r="I93" s="193"/>
      <c r="J93" s="193"/>
      <c r="K93" s="193"/>
      <c r="L93" s="193"/>
      <c r="M93" s="194"/>
      <c r="N93" s="194"/>
      <c r="O93" s="194"/>
      <c r="P93" s="195">
        <f>SUM(P70:P92)</f>
        <v>23.5</v>
      </c>
      <c r="Q93" s="195">
        <f>P93</f>
        <v>23.5</v>
      </c>
      <c r="R93" s="195">
        <f>SUM(R70:R91)</f>
        <v>0</v>
      </c>
      <c r="S93" s="195">
        <f>SUM(S70:S91)</f>
        <v>0</v>
      </c>
      <c r="T93" s="195">
        <f>SUM(T70:T92)</f>
        <v>23.5</v>
      </c>
      <c r="U93" s="195"/>
      <c r="V93" s="195"/>
      <c r="W93" s="195">
        <f>E93+M93+Q93</f>
        <v>23.5</v>
      </c>
      <c r="X93" s="195">
        <f>SUM(X70:X91)</f>
        <v>0</v>
      </c>
      <c r="Y93" s="195"/>
      <c r="Z93" s="195"/>
      <c r="AA93" s="195">
        <f>SUM(AA70:AA91)</f>
        <v>0</v>
      </c>
      <c r="AB93" s="535">
        <f>T93+X93/2</f>
        <v>23.5</v>
      </c>
      <c r="AC93" s="535"/>
      <c r="AD93" s="535"/>
      <c r="AE93" s="599">
        <v>0</v>
      </c>
      <c r="AF93" s="535">
        <f>SUM(AF70:AF92)</f>
        <v>23.5</v>
      </c>
    </row>
    <row r="94" spans="1:32" s="29" customFormat="1" ht="14.45" customHeight="1" x14ac:dyDescent="0.25">
      <c r="A94" s="5"/>
      <c r="B94" s="435"/>
      <c r="C94" s="518"/>
      <c r="D94" s="518"/>
      <c r="E94" s="519"/>
      <c r="F94" s="519"/>
      <c r="G94" s="519"/>
      <c r="H94" s="519"/>
      <c r="I94" s="519"/>
      <c r="J94" s="519"/>
      <c r="K94" s="519"/>
      <c r="L94" s="519"/>
      <c r="M94" s="520"/>
      <c r="N94" s="520"/>
      <c r="O94" s="520"/>
      <c r="P94" s="521"/>
      <c r="Q94" s="521"/>
      <c r="R94" s="521"/>
      <c r="S94" s="521"/>
      <c r="T94" s="521"/>
      <c r="U94" s="521"/>
      <c r="V94" s="521"/>
      <c r="W94" s="521"/>
      <c r="X94" s="521"/>
      <c r="Y94" s="521"/>
      <c r="Z94" s="521"/>
      <c r="AA94" s="521"/>
      <c r="AB94" s="522"/>
      <c r="AC94" s="522"/>
      <c r="AD94" s="522"/>
      <c r="AE94" s="521"/>
      <c r="AF94" s="521"/>
    </row>
    <row r="95" spans="1:32" s="29" customFormat="1" ht="14.45" customHeight="1" x14ac:dyDescent="0.25">
      <c r="A95" s="5"/>
      <c r="B95" s="76"/>
      <c r="C95" s="70"/>
      <c r="D95" s="70"/>
      <c r="E95" s="53"/>
      <c r="F95" s="53"/>
      <c r="G95" s="53"/>
      <c r="H95" s="53"/>
      <c r="I95" s="53"/>
      <c r="J95" s="53"/>
      <c r="K95" s="53"/>
      <c r="L95" s="53"/>
      <c r="M95" s="71"/>
      <c r="N95" s="71"/>
      <c r="O95" s="71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190"/>
      <c r="AC95" s="190"/>
      <c r="AD95" s="190"/>
      <c r="AE95" s="54"/>
      <c r="AF95" s="54"/>
    </row>
    <row r="96" spans="1:32" s="29" customFormat="1" ht="14.45" customHeight="1" x14ac:dyDescent="0.25">
      <c r="A96" s="5"/>
      <c r="B96" s="76"/>
      <c r="C96" s="70"/>
      <c r="D96" s="70"/>
      <c r="E96" s="53"/>
      <c r="F96" s="53"/>
      <c r="G96" s="53"/>
      <c r="H96" s="53"/>
      <c r="I96" s="53"/>
      <c r="J96" s="53"/>
      <c r="K96" s="53"/>
      <c r="L96" s="53"/>
      <c r="M96" s="71"/>
      <c r="N96" s="71"/>
      <c r="O96" s="71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190"/>
      <c r="AC96" s="190"/>
      <c r="AD96" s="190"/>
      <c r="AE96" s="54"/>
      <c r="AF96" s="54"/>
    </row>
    <row r="97" spans="1:250" s="29" customFormat="1" ht="14.45" customHeight="1" x14ac:dyDescent="0.25">
      <c r="A97" s="189" t="s">
        <v>152</v>
      </c>
      <c r="B97" s="76" t="s">
        <v>545</v>
      </c>
      <c r="C97" s="70"/>
      <c r="D97" s="70"/>
      <c r="E97" s="53"/>
      <c r="F97" s="53"/>
      <c r="G97" s="53"/>
      <c r="H97" s="53"/>
      <c r="I97" s="53"/>
      <c r="J97" s="53"/>
      <c r="K97" s="53"/>
      <c r="L97" s="53"/>
      <c r="M97" s="71"/>
      <c r="N97" s="71"/>
      <c r="O97" s="71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190"/>
      <c r="AC97" s="190"/>
      <c r="AD97" s="190"/>
      <c r="AE97" s="54"/>
      <c r="AF97" s="54"/>
    </row>
    <row r="98" spans="1:250" s="29" customFormat="1" ht="14.45" customHeight="1" x14ac:dyDescent="0.25">
      <c r="A98" s="189" t="s">
        <v>153</v>
      </c>
      <c r="B98" s="191" t="s">
        <v>549</v>
      </c>
      <c r="C98" s="192"/>
      <c r="D98" s="192"/>
      <c r="E98" s="193"/>
      <c r="F98" s="193"/>
      <c r="G98" s="193"/>
      <c r="H98" s="193"/>
      <c r="I98" s="193"/>
      <c r="J98" s="193"/>
      <c r="K98" s="193"/>
      <c r="L98" s="193"/>
      <c r="M98" s="194"/>
      <c r="N98" s="194"/>
      <c r="O98" s="194"/>
      <c r="P98" s="194">
        <v>13</v>
      </c>
      <c r="Q98" s="194">
        <f>P98</f>
        <v>13</v>
      </c>
      <c r="R98" s="195"/>
      <c r="S98" s="195"/>
      <c r="T98" s="194">
        <f>P98</f>
        <v>13</v>
      </c>
      <c r="U98" s="194"/>
      <c r="V98" s="195"/>
      <c r="W98" s="195">
        <f>Q98+M98+E98</f>
        <v>13</v>
      </c>
      <c r="X98" s="195"/>
      <c r="Y98" s="195"/>
      <c r="Z98" s="195"/>
      <c r="AA98" s="195"/>
      <c r="AB98" s="194">
        <f>T98+X98/2</f>
        <v>13</v>
      </c>
      <c r="AC98" s="194"/>
      <c r="AD98" s="194"/>
      <c r="AE98" s="195"/>
      <c r="AF98" s="195">
        <f>W98+AA98/2</f>
        <v>13</v>
      </c>
    </row>
    <row r="99" spans="1:250" s="29" customFormat="1" ht="14.45" customHeight="1" x14ac:dyDescent="0.25">
      <c r="A99" s="189" t="s">
        <v>154</v>
      </c>
      <c r="B99" s="191" t="s">
        <v>550</v>
      </c>
      <c r="C99" s="192"/>
      <c r="D99" s="192"/>
      <c r="E99" s="193"/>
      <c r="F99" s="193"/>
      <c r="G99" s="193"/>
      <c r="H99" s="193"/>
      <c r="I99" s="193"/>
      <c r="J99" s="193"/>
      <c r="K99" s="193"/>
      <c r="L99" s="193"/>
      <c r="M99" s="194"/>
      <c r="N99" s="194"/>
      <c r="O99" s="194"/>
      <c r="P99" s="194">
        <v>8</v>
      </c>
      <c r="Q99" s="194">
        <f>P99</f>
        <v>8</v>
      </c>
      <c r="R99" s="195"/>
      <c r="S99" s="195"/>
      <c r="T99" s="194">
        <f>P99</f>
        <v>8</v>
      </c>
      <c r="U99" s="194"/>
      <c r="V99" s="195"/>
      <c r="W99" s="195">
        <f>T99+V99</f>
        <v>8</v>
      </c>
      <c r="X99" s="195"/>
      <c r="Y99" s="195"/>
      <c r="Z99" s="195"/>
      <c r="AA99" s="195"/>
      <c r="AB99" s="194">
        <f>T99+X99/2</f>
        <v>8</v>
      </c>
      <c r="AC99" s="194"/>
      <c r="AD99" s="194"/>
      <c r="AE99" s="195"/>
      <c r="AF99" s="195">
        <f>W99+AA99/2</f>
        <v>8</v>
      </c>
    </row>
    <row r="100" spans="1:250" s="29" customFormat="1" ht="14.45" customHeight="1" x14ac:dyDescent="0.25">
      <c r="A100" s="189" t="s">
        <v>155</v>
      </c>
      <c r="B100" s="191" t="s">
        <v>551</v>
      </c>
      <c r="C100" s="192"/>
      <c r="D100" s="192"/>
      <c r="E100" s="193"/>
      <c r="F100" s="193"/>
      <c r="G100" s="193"/>
      <c r="H100" s="193"/>
      <c r="I100" s="193"/>
      <c r="J100" s="193"/>
      <c r="K100" s="193"/>
      <c r="L100" s="193"/>
      <c r="M100" s="194"/>
      <c r="N100" s="194"/>
      <c r="O100" s="194"/>
      <c r="P100" s="194">
        <v>3</v>
      </c>
      <c r="Q100" s="194">
        <f>P100</f>
        <v>3</v>
      </c>
      <c r="R100" s="195"/>
      <c r="S100" s="195"/>
      <c r="T100" s="194">
        <v>3</v>
      </c>
      <c r="U100" s="194"/>
      <c r="V100" s="195"/>
      <c r="W100" s="195">
        <v>3</v>
      </c>
      <c r="X100" s="195"/>
      <c r="Y100" s="195"/>
      <c r="Z100" s="195"/>
      <c r="AA100" s="195"/>
      <c r="AB100" s="194">
        <f>T100+X100/2</f>
        <v>3</v>
      </c>
      <c r="AC100" s="194"/>
      <c r="AD100" s="194"/>
      <c r="AE100" s="195"/>
      <c r="AF100" s="195">
        <f>W100+AA100/2</f>
        <v>3</v>
      </c>
    </row>
    <row r="101" spans="1:250" s="29" customFormat="1" ht="14.45" customHeight="1" x14ac:dyDescent="0.25">
      <c r="A101" s="189" t="s">
        <v>156</v>
      </c>
      <c r="B101" s="196" t="s">
        <v>552</v>
      </c>
      <c r="C101" s="197"/>
      <c r="D101" s="197"/>
      <c r="E101" s="198"/>
      <c r="F101" s="198"/>
      <c r="G101" s="198"/>
      <c r="H101" s="198"/>
      <c r="I101" s="198"/>
      <c r="J101" s="198"/>
      <c r="K101" s="198"/>
      <c r="L101" s="198"/>
      <c r="M101" s="194"/>
      <c r="N101" s="194"/>
      <c r="O101" s="194"/>
      <c r="P101" s="195">
        <f>P98+P99+P100</f>
        <v>24</v>
      </c>
      <c r="Q101" s="195">
        <f>P101</f>
        <v>24</v>
      </c>
      <c r="R101" s="195">
        <v>0</v>
      </c>
      <c r="S101" s="195">
        <f>S98+S99+S100</f>
        <v>0</v>
      </c>
      <c r="T101" s="195">
        <f>T98+T99+T100</f>
        <v>24</v>
      </c>
      <c r="U101" s="195"/>
      <c r="V101" s="195"/>
      <c r="W101" s="195">
        <f>W98+W99+W100</f>
        <v>24</v>
      </c>
      <c r="X101" s="195">
        <f>X98+X99+X100</f>
        <v>0</v>
      </c>
      <c r="Y101" s="195"/>
      <c r="Z101" s="195"/>
      <c r="AA101" s="195">
        <f>AA98+AA99+AA100</f>
        <v>0</v>
      </c>
      <c r="AB101" s="535">
        <f>T101+X101/2</f>
        <v>24</v>
      </c>
      <c r="AC101" s="535"/>
      <c r="AD101" s="535"/>
      <c r="AE101" s="599">
        <v>0</v>
      </c>
      <c r="AF101" s="535">
        <f>W101+AA101/2</f>
        <v>24</v>
      </c>
    </row>
    <row r="102" spans="1:250" ht="15.75" customHeight="1" x14ac:dyDescent="0.25">
      <c r="A102" s="189"/>
      <c r="B102" s="523"/>
      <c r="C102" s="524"/>
      <c r="D102" s="524"/>
      <c r="E102" s="525"/>
      <c r="F102" s="525"/>
      <c r="G102" s="525"/>
      <c r="H102" s="525"/>
      <c r="I102" s="525"/>
      <c r="J102" s="525"/>
      <c r="K102" s="525"/>
      <c r="L102" s="525"/>
      <c r="M102" s="526"/>
      <c r="N102" s="526"/>
      <c r="O102" s="526"/>
      <c r="P102" s="527"/>
      <c r="Q102" s="527"/>
      <c r="R102" s="527"/>
      <c r="S102" s="527"/>
      <c r="T102" s="527"/>
      <c r="U102" s="527"/>
      <c r="V102" s="527"/>
      <c r="W102" s="527"/>
      <c r="X102" s="527"/>
      <c r="Y102" s="527"/>
      <c r="Z102" s="527"/>
      <c r="AA102" s="527"/>
      <c r="AB102" s="527"/>
      <c r="AC102" s="527"/>
      <c r="AD102" s="527"/>
      <c r="AE102" s="527"/>
      <c r="AF102" s="528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  <c r="HS102" s="29"/>
      <c r="HT102" s="29"/>
      <c r="HU102" s="29"/>
      <c r="HV102" s="29"/>
      <c r="HW102" s="29"/>
      <c r="HX102" s="29"/>
      <c r="HY102" s="29"/>
      <c r="HZ102" s="29"/>
      <c r="IA102" s="29"/>
      <c r="IB102" s="29"/>
      <c r="IC102" s="29"/>
      <c r="ID102" s="29"/>
      <c r="IE102" s="29"/>
      <c r="IF102" s="29"/>
      <c r="IG102" s="29"/>
      <c r="IH102" s="29"/>
      <c r="II102" s="29"/>
      <c r="IJ102" s="29"/>
      <c r="IK102" s="29"/>
      <c r="IL102" s="29"/>
      <c r="IM102" s="29"/>
      <c r="IN102" s="29"/>
      <c r="IO102" s="29"/>
      <c r="IP102" s="29"/>
    </row>
    <row r="103" spans="1:250" s="29" customFormat="1" ht="14.45" customHeight="1" x14ac:dyDescent="0.25">
      <c r="A103" s="189"/>
      <c r="B103" s="51"/>
      <c r="C103" s="52"/>
      <c r="D103" s="52"/>
      <c r="E103" s="53"/>
      <c r="F103" s="53"/>
      <c r="G103" s="53"/>
      <c r="H103" s="53"/>
      <c r="I103" s="53"/>
      <c r="J103" s="53"/>
      <c r="K103" s="53"/>
      <c r="L103" s="53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29" customFormat="1" ht="15.75" customHeight="1" x14ac:dyDescent="0.25">
      <c r="A104" s="189" t="s">
        <v>158</v>
      </c>
      <c r="B104" s="46" t="s">
        <v>720</v>
      </c>
      <c r="C104" s="47">
        <f>C24+C40+C64</f>
        <v>0</v>
      </c>
      <c r="D104" s="47"/>
      <c r="E104" s="47">
        <f>E24+E40+E64</f>
        <v>0</v>
      </c>
      <c r="F104" s="47"/>
      <c r="G104" s="47"/>
      <c r="H104" s="47"/>
      <c r="I104" s="47"/>
      <c r="J104" s="47">
        <f>J24+J40+J64</f>
        <v>0</v>
      </c>
      <c r="K104" s="47"/>
      <c r="L104" s="47"/>
      <c r="M104" s="47">
        <f>M24+M40+M64</f>
        <v>0</v>
      </c>
      <c r="N104" s="47">
        <f>N24+N40+N64</f>
        <v>0</v>
      </c>
      <c r="O104" s="47">
        <f>O24+O40+O64</f>
        <v>0</v>
      </c>
      <c r="P104" s="47">
        <f t="shared" ref="P104:AF104" si="17">P24+P40+P101+P93</f>
        <v>187</v>
      </c>
      <c r="Q104" s="47">
        <f t="shared" si="17"/>
        <v>187</v>
      </c>
      <c r="R104" s="47">
        <f t="shared" si="17"/>
        <v>1</v>
      </c>
      <c r="S104" s="47">
        <f t="shared" si="17"/>
        <v>1</v>
      </c>
      <c r="T104" s="47">
        <f t="shared" si="17"/>
        <v>187</v>
      </c>
      <c r="U104" s="47"/>
      <c r="V104" s="600">
        <f>V101+V93+V40+V24</f>
        <v>0</v>
      </c>
      <c r="W104" s="47">
        <f t="shared" si="17"/>
        <v>187</v>
      </c>
      <c r="X104" s="47">
        <f t="shared" si="17"/>
        <v>1</v>
      </c>
      <c r="Y104" s="47"/>
      <c r="Z104" s="47"/>
      <c r="AA104" s="47">
        <f t="shared" si="17"/>
        <v>1</v>
      </c>
      <c r="AB104" s="536">
        <f t="shared" si="17"/>
        <v>187.5</v>
      </c>
      <c r="AC104" s="536"/>
      <c r="AD104" s="536"/>
      <c r="AE104" s="536">
        <f t="shared" ref="AE104" si="18">AE101+AE93+AE40+AE24</f>
        <v>0</v>
      </c>
      <c r="AF104" s="536">
        <f t="shared" si="17"/>
        <v>187.5</v>
      </c>
    </row>
    <row r="105" spans="1:250" s="29" customFormat="1" ht="14.45" customHeight="1" x14ac:dyDescent="0.25">
      <c r="A105" s="189"/>
      <c r="B105" s="56"/>
      <c r="C105" s="57"/>
      <c r="D105" s="57"/>
      <c r="E105" s="58"/>
      <c r="F105" s="58"/>
      <c r="G105" s="58"/>
      <c r="H105" s="58"/>
      <c r="I105" s="58"/>
      <c r="J105" s="58"/>
      <c r="K105" s="58"/>
      <c r="L105" s="58"/>
      <c r="M105" s="59"/>
      <c r="N105" s="59"/>
      <c r="O105" s="59"/>
      <c r="P105" s="59"/>
      <c r="Q105" s="58"/>
      <c r="R105" s="58"/>
      <c r="S105" s="58"/>
      <c r="T105" s="58"/>
      <c r="U105" s="54"/>
      <c r="V105" s="54"/>
      <c r="W105" s="68"/>
      <c r="X105" s="69"/>
      <c r="Y105" s="69"/>
      <c r="Z105" s="69"/>
      <c r="AA105" s="69"/>
      <c r="AB105" s="348"/>
      <c r="AC105" s="348"/>
      <c r="AD105" s="348"/>
      <c r="AE105" s="348"/>
      <c r="AF105" s="348"/>
    </row>
    <row r="106" spans="1:250" ht="14.45" customHeight="1" x14ac:dyDescent="0.25">
      <c r="A106" s="189" t="s">
        <v>161</v>
      </c>
      <c r="B106" s="46" t="s">
        <v>636</v>
      </c>
      <c r="C106" s="75">
        <f>C10+C12+C104</f>
        <v>7</v>
      </c>
      <c r="D106" s="594">
        <f>D104+D12+D10</f>
        <v>0</v>
      </c>
      <c r="E106" s="601">
        <f>E10+E12+E104</f>
        <v>7</v>
      </c>
      <c r="F106" s="595">
        <f>F10++F12+F104</f>
        <v>1</v>
      </c>
      <c r="G106" s="595">
        <f>G104+G10+G12</f>
        <v>1</v>
      </c>
      <c r="H106" s="595">
        <f>H10+H12+H104</f>
        <v>-2</v>
      </c>
      <c r="I106" s="595">
        <f>I104+I12+I10</f>
        <v>0</v>
      </c>
      <c r="J106" s="75">
        <f>J10+J12+J104</f>
        <v>38</v>
      </c>
      <c r="K106" s="75">
        <f t="shared" ref="K106:L106" si="19">K10+K12+K104</f>
        <v>2</v>
      </c>
      <c r="L106" s="75">
        <f t="shared" si="19"/>
        <v>-2</v>
      </c>
      <c r="M106" s="75">
        <f>M10+M12+M104</f>
        <v>38</v>
      </c>
      <c r="N106" s="75">
        <f>N10+N12+N104</f>
        <v>0</v>
      </c>
      <c r="O106" s="75">
        <f>O10+O12+O104</f>
        <v>0</v>
      </c>
      <c r="P106" s="349">
        <f>P104</f>
        <v>187</v>
      </c>
      <c r="Q106" s="349">
        <f>Q10+Q12+Q104</f>
        <v>187</v>
      </c>
      <c r="R106" s="349">
        <f>R10+R12+R104</f>
        <v>1</v>
      </c>
      <c r="S106" s="349">
        <f>S10+S12+S104</f>
        <v>1</v>
      </c>
      <c r="T106" s="50">
        <f>C106+J106+P106</f>
        <v>232</v>
      </c>
      <c r="U106" s="595">
        <f>U12+U10</f>
        <v>2</v>
      </c>
      <c r="V106" s="595">
        <f>V10+V12+V104</f>
        <v>-2</v>
      </c>
      <c r="W106" s="187">
        <f>W104+W12+W10</f>
        <v>232</v>
      </c>
      <c r="X106" s="1269">
        <f>X10+X12+X104</f>
        <v>2</v>
      </c>
      <c r="Y106" s="1269">
        <f t="shared" ref="Y106:Z106" si="20">Y10+Y12+Y104</f>
        <v>1</v>
      </c>
      <c r="Z106" s="1269">
        <f t="shared" si="20"/>
        <v>-2</v>
      </c>
      <c r="AA106" s="361">
        <f>AA10+AA12+AA104</f>
        <v>1</v>
      </c>
      <c r="AB106" s="626">
        <f>AB10+AB12+AB104</f>
        <v>233</v>
      </c>
      <c r="AC106" s="626">
        <f t="shared" ref="AC106:AD106" si="21">AC10+AC12+AC104</f>
        <v>2</v>
      </c>
      <c r="AD106" s="626">
        <f t="shared" si="21"/>
        <v>0.5</v>
      </c>
      <c r="AE106" s="626">
        <f>AE10+AE12+AE104</f>
        <v>-3</v>
      </c>
      <c r="AF106" s="381">
        <f>AF104+AF12+AF10</f>
        <v>232.5</v>
      </c>
      <c r="AG106" s="420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</row>
    <row r="107" spans="1:250" ht="15.75" customHeight="1" x14ac:dyDescent="0.25">
      <c r="B107" s="76"/>
      <c r="C107" s="70"/>
      <c r="D107" s="70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362"/>
      <c r="U107" s="362"/>
      <c r="V107" s="433"/>
      <c r="W107" s="362"/>
      <c r="X107" s="433"/>
      <c r="Y107" s="433"/>
      <c r="Z107" s="433"/>
      <c r="AA107" s="433"/>
      <c r="AB107" s="433"/>
      <c r="AC107" s="433"/>
      <c r="AD107" s="433"/>
      <c r="AE107" s="433"/>
      <c r="AF107" s="433"/>
    </row>
    <row r="108" spans="1:250" ht="15.75" customHeight="1" x14ac:dyDescent="0.25">
      <c r="B108" s="1664"/>
      <c r="C108" s="1664"/>
      <c r="D108" s="1664"/>
      <c r="E108" s="1664"/>
      <c r="F108" s="1664"/>
      <c r="G108" s="1664"/>
      <c r="H108" s="1664"/>
      <c r="I108" s="1664"/>
      <c r="J108" s="1664"/>
      <c r="K108" s="1664"/>
      <c r="L108" s="1664"/>
      <c r="M108" s="1664"/>
      <c r="N108" s="1664"/>
      <c r="O108" s="1664"/>
      <c r="P108" s="1664"/>
      <c r="Q108" s="362"/>
      <c r="R108" s="54"/>
      <c r="S108" s="54"/>
      <c r="T108" s="362"/>
      <c r="U108" s="362"/>
      <c r="V108" s="433"/>
      <c r="W108" s="362"/>
      <c r="X108" s="433"/>
      <c r="Y108" s="433"/>
      <c r="Z108" s="433"/>
      <c r="AA108" s="433"/>
      <c r="AB108" s="433"/>
      <c r="AC108" s="433"/>
      <c r="AD108" s="433"/>
      <c r="AE108" s="433"/>
      <c r="AF108" s="433"/>
      <c r="AG108" s="363"/>
    </row>
    <row r="109" spans="1:250" ht="13.9" customHeight="1" x14ac:dyDescent="0.25">
      <c r="A109" s="16"/>
      <c r="B109" s="1665"/>
      <c r="C109" s="1665"/>
      <c r="D109" s="1665"/>
      <c r="E109" s="1665"/>
      <c r="F109" s="1665"/>
      <c r="G109" s="1665"/>
      <c r="H109" s="1665"/>
      <c r="I109" s="1665"/>
      <c r="J109" s="1665"/>
      <c r="K109" s="1665"/>
      <c r="L109" s="1665"/>
      <c r="M109" s="1665"/>
      <c r="N109" s="1665"/>
      <c r="O109" s="1665"/>
      <c r="P109" s="1665"/>
      <c r="Q109" s="1665"/>
      <c r="R109" s="1665"/>
      <c r="S109" s="1665"/>
      <c r="T109" s="1665"/>
      <c r="U109" s="1665"/>
      <c r="V109" s="1665"/>
      <c r="W109" s="1665"/>
      <c r="X109" s="1665"/>
      <c r="Y109" s="1665"/>
      <c r="Z109" s="1665"/>
      <c r="AA109" s="1665"/>
      <c r="AB109" s="1665"/>
      <c r="AC109" s="1665"/>
      <c r="AD109" s="1665"/>
      <c r="AE109" s="1665"/>
      <c r="AF109" s="1665"/>
      <c r="AG109" s="363"/>
    </row>
    <row r="110" spans="1:250" ht="13.9" customHeight="1" x14ac:dyDescent="0.25">
      <c r="B110" s="22" t="s">
        <v>298</v>
      </c>
    </row>
  </sheetData>
  <sheetProtection selectLockedCells="1" selectUnlockedCells="1"/>
  <mergeCells count="29">
    <mergeCell ref="B108:P108"/>
    <mergeCell ref="B109:AF109"/>
    <mergeCell ref="F7:I7"/>
    <mergeCell ref="J7:M7"/>
    <mergeCell ref="N7:O7"/>
    <mergeCell ref="P7:Q7"/>
    <mergeCell ref="R7:S7"/>
    <mergeCell ref="T7:W7"/>
    <mergeCell ref="P6:S6"/>
    <mergeCell ref="T6:AA6"/>
    <mergeCell ref="AB6:AF7"/>
    <mergeCell ref="C7:E7"/>
    <mergeCell ref="X7:AA7"/>
    <mergeCell ref="A1:AF1"/>
    <mergeCell ref="A2:AF2"/>
    <mergeCell ref="A3:AF3"/>
    <mergeCell ref="A5:A8"/>
    <mergeCell ref="C5:E5"/>
    <mergeCell ref="F5:I5"/>
    <mergeCell ref="J5:M5"/>
    <mergeCell ref="N5:O5"/>
    <mergeCell ref="P5:Q5"/>
    <mergeCell ref="R5:S5"/>
    <mergeCell ref="T5:W5"/>
    <mergeCell ref="X5:AA5"/>
    <mergeCell ref="AB5:AF5"/>
    <mergeCell ref="B6:B8"/>
    <mergeCell ref="C6:I6"/>
    <mergeCell ref="J6:O6"/>
  </mergeCells>
  <pageMargins left="0.39370078740157483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54" t="s">
        <v>953</v>
      </c>
      <c r="B1" s="1654"/>
      <c r="C1" s="1654"/>
      <c r="D1" s="1654"/>
      <c r="E1" s="1654"/>
      <c r="F1" s="1654"/>
      <c r="G1" s="1654"/>
      <c r="H1" s="1654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/>
      <c r="AB1" s="480"/>
      <c r="AC1" s="480"/>
      <c r="AD1" s="480"/>
      <c r="AE1" s="480"/>
      <c r="AF1" s="480"/>
      <c r="AG1" s="480"/>
      <c r="AH1" s="480"/>
      <c r="AI1" s="480"/>
    </row>
    <row r="2" spans="1:35" x14ac:dyDescent="0.2">
      <c r="C2" t="s">
        <v>348</v>
      </c>
    </row>
    <row r="3" spans="1:35" ht="14.25" x14ac:dyDescent="0.2">
      <c r="A3" s="1667" t="s">
        <v>337</v>
      </c>
      <c r="B3" s="1667"/>
      <c r="C3" s="1667"/>
      <c r="D3" s="1667"/>
      <c r="E3" s="1667"/>
      <c r="F3" s="1667"/>
      <c r="G3" s="1667"/>
      <c r="H3" s="1667"/>
    </row>
    <row r="4" spans="1:35" ht="14.25" x14ac:dyDescent="0.2">
      <c r="A4" s="1667" t="s">
        <v>338</v>
      </c>
      <c r="B4" s="1667"/>
      <c r="C4" s="1667"/>
      <c r="D4" s="1667"/>
      <c r="E4" s="1667"/>
      <c r="F4" s="1667"/>
      <c r="G4" s="1667"/>
      <c r="H4" s="1667"/>
    </row>
    <row r="5" spans="1:35" ht="14.25" x14ac:dyDescent="0.2">
      <c r="A5" s="1668" t="s">
        <v>55</v>
      </c>
      <c r="B5" s="1668"/>
      <c r="C5" s="1668"/>
      <c r="D5" s="1668"/>
      <c r="E5" s="1668"/>
      <c r="F5" s="1668"/>
      <c r="G5" s="1668"/>
      <c r="H5" s="1668"/>
    </row>
    <row r="6" spans="1:35" ht="15" x14ac:dyDescent="0.25">
      <c r="A6" s="281"/>
      <c r="B6" s="442"/>
      <c r="C6" s="442"/>
      <c r="D6" s="442"/>
      <c r="E6" s="442"/>
    </row>
    <row r="7" spans="1:35" ht="14.25" customHeight="1" x14ac:dyDescent="0.2">
      <c r="A7" s="1669"/>
      <c r="B7" s="443" t="s">
        <v>57</v>
      </c>
      <c r="C7" s="443" t="s">
        <v>58</v>
      </c>
      <c r="D7" s="443" t="s">
        <v>59</v>
      </c>
      <c r="E7" s="443" t="s">
        <v>60</v>
      </c>
      <c r="F7" s="444" t="s">
        <v>498</v>
      </c>
      <c r="G7" s="444" t="s">
        <v>499</v>
      </c>
      <c r="H7" s="444" t="s">
        <v>500</v>
      </c>
    </row>
    <row r="8" spans="1:35" ht="14.25" customHeight="1" x14ac:dyDescent="0.2">
      <c r="A8" s="1669"/>
      <c r="B8" s="1670" t="s">
        <v>821</v>
      </c>
      <c r="C8" s="1671" t="s">
        <v>340</v>
      </c>
      <c r="D8" s="1672" t="s">
        <v>341</v>
      </c>
      <c r="E8" s="1673"/>
      <c r="F8" s="1674"/>
    </row>
    <row r="9" spans="1:35" ht="15.75" x14ac:dyDescent="0.25">
      <c r="A9" s="1669"/>
      <c r="B9" s="1670"/>
      <c r="C9" s="1671"/>
      <c r="D9" s="1672"/>
      <c r="E9" s="284">
        <v>2015</v>
      </c>
      <c r="F9" s="445">
        <v>2017</v>
      </c>
      <c r="G9" s="467">
        <v>2017</v>
      </c>
      <c r="H9" s="467">
        <v>2018</v>
      </c>
    </row>
    <row r="10" spans="1:35" ht="15" x14ac:dyDescent="0.25">
      <c r="A10" s="446"/>
      <c r="B10" s="447" t="s">
        <v>347</v>
      </c>
      <c r="C10" s="448"/>
      <c r="D10" s="468"/>
      <c r="E10" s="448"/>
    </row>
    <row r="11" spans="1:35" ht="15" x14ac:dyDescent="0.25">
      <c r="A11" s="449">
        <v>1</v>
      </c>
      <c r="B11" s="450" t="s">
        <v>822</v>
      </c>
      <c r="C11" s="451" t="s">
        <v>823</v>
      </c>
      <c r="D11" s="469" t="s">
        <v>353</v>
      </c>
      <c r="E11" s="452">
        <v>41</v>
      </c>
      <c r="F11" s="452">
        <v>50</v>
      </c>
      <c r="G11" s="452">
        <v>50</v>
      </c>
      <c r="H11" s="452">
        <v>50</v>
      </c>
    </row>
    <row r="12" spans="1:35" ht="15" x14ac:dyDescent="0.25">
      <c r="A12" s="449">
        <v>2</v>
      </c>
      <c r="B12" s="450" t="s">
        <v>824</v>
      </c>
      <c r="C12" s="451" t="s">
        <v>825</v>
      </c>
      <c r="D12" s="469" t="s">
        <v>353</v>
      </c>
      <c r="E12" s="452">
        <v>125</v>
      </c>
      <c r="F12" s="452">
        <v>147</v>
      </c>
      <c r="G12" s="452">
        <v>147</v>
      </c>
      <c r="H12" s="452">
        <v>147</v>
      </c>
    </row>
    <row r="13" spans="1:35" ht="25.5" customHeight="1" x14ac:dyDescent="0.25">
      <c r="A13" s="449">
        <v>3</v>
      </c>
      <c r="B13" s="453" t="s">
        <v>826</v>
      </c>
      <c r="C13" s="454" t="s">
        <v>769</v>
      </c>
      <c r="D13" s="470" t="s">
        <v>353</v>
      </c>
      <c r="E13" s="455"/>
      <c r="F13" s="455">
        <v>240</v>
      </c>
      <c r="G13" s="455">
        <v>240</v>
      </c>
      <c r="H13" s="455">
        <v>240</v>
      </c>
    </row>
    <row r="14" spans="1:35" ht="15" x14ac:dyDescent="0.25">
      <c r="A14" s="449">
        <v>4</v>
      </c>
      <c r="B14" s="450" t="s">
        <v>396</v>
      </c>
      <c r="C14" s="451" t="s">
        <v>827</v>
      </c>
      <c r="D14" s="469" t="s">
        <v>353</v>
      </c>
      <c r="E14" s="452">
        <v>330</v>
      </c>
      <c r="F14" s="452">
        <v>335</v>
      </c>
      <c r="G14" s="452">
        <v>335</v>
      </c>
      <c r="H14" s="452">
        <v>335</v>
      </c>
    </row>
    <row r="15" spans="1:35" ht="15" x14ac:dyDescent="0.25">
      <c r="A15" s="449">
        <v>5</v>
      </c>
      <c r="B15" s="450" t="s">
        <v>398</v>
      </c>
      <c r="C15" s="451" t="s">
        <v>828</v>
      </c>
      <c r="D15" s="469" t="s">
        <v>353</v>
      </c>
      <c r="E15" s="452">
        <v>930</v>
      </c>
      <c r="F15" s="452">
        <v>960</v>
      </c>
      <c r="G15" s="452">
        <v>960</v>
      </c>
      <c r="H15" s="452">
        <v>960</v>
      </c>
    </row>
    <row r="16" spans="1:35" ht="15" x14ac:dyDescent="0.25">
      <c r="A16" s="449">
        <v>6</v>
      </c>
      <c r="B16" s="450" t="s">
        <v>829</v>
      </c>
      <c r="C16" s="451" t="s">
        <v>830</v>
      </c>
      <c r="D16" s="469" t="s">
        <v>353</v>
      </c>
      <c r="E16" s="452"/>
      <c r="F16" s="452">
        <v>700</v>
      </c>
      <c r="G16" s="452">
        <v>700</v>
      </c>
      <c r="H16" s="452">
        <v>700</v>
      </c>
    </row>
    <row r="17" spans="1:8" ht="15" x14ac:dyDescent="0.25">
      <c r="A17" s="449">
        <v>7</v>
      </c>
      <c r="B17" s="451" t="s">
        <v>416</v>
      </c>
      <c r="C17" s="451" t="s">
        <v>831</v>
      </c>
      <c r="D17" s="471" t="s">
        <v>353</v>
      </c>
      <c r="E17" s="452">
        <v>225</v>
      </c>
      <c r="F17" s="452">
        <v>271</v>
      </c>
      <c r="G17" s="452">
        <v>271</v>
      </c>
      <c r="H17" s="452">
        <v>271</v>
      </c>
    </row>
    <row r="18" spans="1:8" ht="24.75" customHeight="1" x14ac:dyDescent="0.25">
      <c r="A18" s="449">
        <v>8</v>
      </c>
      <c r="B18" s="456" t="s">
        <v>832</v>
      </c>
      <c r="C18" s="457" t="s">
        <v>833</v>
      </c>
      <c r="D18" s="472" t="s">
        <v>353</v>
      </c>
      <c r="E18" s="458">
        <v>233</v>
      </c>
      <c r="F18" s="458">
        <v>236</v>
      </c>
      <c r="G18" s="458">
        <v>236</v>
      </c>
      <c r="H18" s="458">
        <v>236</v>
      </c>
    </row>
    <row r="19" spans="1:8" ht="20.25" customHeight="1" x14ac:dyDescent="0.25">
      <c r="A19" s="449">
        <v>9</v>
      </c>
      <c r="B19" s="456" t="s">
        <v>422</v>
      </c>
      <c r="C19" s="457" t="s">
        <v>834</v>
      </c>
      <c r="D19" s="472" t="s">
        <v>353</v>
      </c>
      <c r="E19" s="458">
        <v>250</v>
      </c>
      <c r="F19" s="458">
        <v>200</v>
      </c>
      <c r="G19" s="458">
        <v>200</v>
      </c>
      <c r="H19" s="458">
        <v>200</v>
      </c>
    </row>
    <row r="20" spans="1:8" ht="27.75" customHeight="1" x14ac:dyDescent="0.25">
      <c r="A20" s="449">
        <v>10</v>
      </c>
      <c r="B20" s="456" t="s">
        <v>433</v>
      </c>
      <c r="C20" s="457" t="s">
        <v>835</v>
      </c>
      <c r="D20" s="472" t="s">
        <v>353</v>
      </c>
      <c r="E20" s="458">
        <v>1800</v>
      </c>
      <c r="F20" s="458">
        <v>1800</v>
      </c>
      <c r="G20" s="458">
        <v>1800</v>
      </c>
      <c r="H20" s="458">
        <v>1800</v>
      </c>
    </row>
    <row r="21" spans="1:8" ht="28.5" customHeight="1" x14ac:dyDescent="0.25">
      <c r="A21" s="449">
        <v>11</v>
      </c>
      <c r="B21" s="456" t="s">
        <v>435</v>
      </c>
      <c r="C21" s="457" t="s">
        <v>836</v>
      </c>
      <c r="D21" s="472" t="s">
        <v>353</v>
      </c>
      <c r="E21" s="458">
        <v>2000</v>
      </c>
      <c r="F21" s="458">
        <v>2000</v>
      </c>
      <c r="G21" s="458">
        <v>2000</v>
      </c>
      <c r="H21" s="458">
        <v>2000</v>
      </c>
    </row>
    <row r="22" spans="1:8" ht="48" customHeight="1" x14ac:dyDescent="0.2">
      <c r="A22" s="473">
        <v>12</v>
      </c>
      <c r="B22" s="459" t="s">
        <v>837</v>
      </c>
      <c r="C22" s="474" t="s">
        <v>838</v>
      </c>
      <c r="D22" s="475" t="s">
        <v>353</v>
      </c>
      <c r="E22" s="476"/>
      <c r="F22" s="476">
        <v>97</v>
      </c>
      <c r="G22" s="476">
        <v>97</v>
      </c>
      <c r="H22" s="476">
        <v>97</v>
      </c>
    </row>
    <row r="23" spans="1:8" ht="30" customHeight="1" x14ac:dyDescent="0.25">
      <c r="A23" s="449">
        <v>13</v>
      </c>
      <c r="B23" s="456" t="s">
        <v>839</v>
      </c>
      <c r="C23" s="457" t="s">
        <v>840</v>
      </c>
      <c r="D23" s="472">
        <v>43465</v>
      </c>
      <c r="E23" s="458"/>
      <c r="F23" s="458">
        <v>991</v>
      </c>
      <c r="G23" s="458">
        <v>991</v>
      </c>
      <c r="H23" s="458">
        <v>991</v>
      </c>
    </row>
    <row r="24" spans="1:8" ht="33" customHeight="1" x14ac:dyDescent="0.25">
      <c r="A24" s="449">
        <v>14</v>
      </c>
      <c r="B24" s="456" t="s">
        <v>841</v>
      </c>
      <c r="C24" s="457" t="s">
        <v>842</v>
      </c>
      <c r="D24" s="472" t="s">
        <v>353</v>
      </c>
      <c r="E24" s="458"/>
      <c r="F24" s="458">
        <v>515</v>
      </c>
      <c r="G24" s="458">
        <v>515</v>
      </c>
      <c r="H24" s="458">
        <v>515</v>
      </c>
    </row>
    <row r="25" spans="1:8" ht="15" x14ac:dyDescent="0.25">
      <c r="A25" s="449">
        <v>17</v>
      </c>
      <c r="B25" s="461" t="s">
        <v>843</v>
      </c>
      <c r="C25" s="461" t="s">
        <v>844</v>
      </c>
      <c r="D25" s="477">
        <v>43009</v>
      </c>
      <c r="E25" s="462"/>
      <c r="F25" s="463">
        <v>3500</v>
      </c>
      <c r="G25" s="463">
        <v>3500</v>
      </c>
      <c r="H25" s="463">
        <v>3500</v>
      </c>
    </row>
    <row r="26" spans="1:8" ht="15" x14ac:dyDescent="0.25">
      <c r="A26" s="449">
        <v>22</v>
      </c>
      <c r="B26" s="461" t="s">
        <v>845</v>
      </c>
      <c r="C26" s="461" t="s">
        <v>846</v>
      </c>
      <c r="D26" s="477" t="s">
        <v>353</v>
      </c>
      <c r="E26" s="464"/>
      <c r="F26" s="463">
        <v>248</v>
      </c>
      <c r="G26" s="463">
        <v>248</v>
      </c>
      <c r="H26" s="463">
        <v>248</v>
      </c>
    </row>
    <row r="27" spans="1:8" ht="15.75" x14ac:dyDescent="0.25">
      <c r="A27" s="449">
        <v>23</v>
      </c>
      <c r="B27" s="461" t="s">
        <v>847</v>
      </c>
      <c r="C27" s="461" t="s">
        <v>848</v>
      </c>
      <c r="D27" s="466" t="s">
        <v>353</v>
      </c>
      <c r="E27" s="465"/>
      <c r="F27" s="463">
        <v>168</v>
      </c>
      <c r="G27" s="463">
        <v>168</v>
      </c>
      <c r="H27" s="463">
        <v>168</v>
      </c>
    </row>
    <row r="28" spans="1:8" ht="15.75" x14ac:dyDescent="0.25">
      <c r="A28" s="478">
        <v>24</v>
      </c>
      <c r="B28" s="461" t="s">
        <v>849</v>
      </c>
      <c r="C28" s="461" t="s">
        <v>850</v>
      </c>
      <c r="D28" s="466" t="s">
        <v>353</v>
      </c>
      <c r="E28" s="465"/>
      <c r="F28" s="463">
        <v>76</v>
      </c>
      <c r="G28" s="463">
        <v>76</v>
      </c>
      <c r="H28" s="463">
        <v>76</v>
      </c>
    </row>
    <row r="29" spans="1:8" ht="15.75" x14ac:dyDescent="0.25">
      <c r="A29" s="449">
        <v>25</v>
      </c>
      <c r="B29" s="465"/>
      <c r="C29" s="461" t="s">
        <v>851</v>
      </c>
      <c r="D29" s="466" t="s">
        <v>353</v>
      </c>
      <c r="E29" s="465"/>
      <c r="F29" s="460">
        <v>127</v>
      </c>
      <c r="G29" s="460">
        <v>127</v>
      </c>
      <c r="H29" s="460">
        <v>127</v>
      </c>
    </row>
    <row r="30" spans="1:8" ht="15" x14ac:dyDescent="0.25">
      <c r="A30" s="449">
        <v>26</v>
      </c>
      <c r="B30" s="461" t="s">
        <v>852</v>
      </c>
      <c r="C30" s="461" t="s">
        <v>853</v>
      </c>
      <c r="D30" s="477">
        <v>42855</v>
      </c>
      <c r="E30" s="464"/>
      <c r="F30" s="463">
        <v>1531</v>
      </c>
      <c r="G30" s="463">
        <v>1531</v>
      </c>
      <c r="H30" s="463">
        <v>1531</v>
      </c>
    </row>
    <row r="31" spans="1:8" ht="15" x14ac:dyDescent="0.25">
      <c r="A31" s="449">
        <v>27</v>
      </c>
      <c r="B31" s="461" t="s">
        <v>809</v>
      </c>
      <c r="C31" s="461" t="s">
        <v>854</v>
      </c>
      <c r="D31" s="477">
        <v>42855</v>
      </c>
      <c r="E31" s="464"/>
      <c r="F31" s="463">
        <v>3446</v>
      </c>
      <c r="G31" s="463">
        <v>3446</v>
      </c>
      <c r="H31" s="463">
        <v>3446</v>
      </c>
    </row>
    <row r="32" spans="1:8" ht="15" x14ac:dyDescent="0.25">
      <c r="A32" s="449">
        <v>28</v>
      </c>
      <c r="B32" s="461" t="s">
        <v>807</v>
      </c>
      <c r="C32" s="461" t="s">
        <v>855</v>
      </c>
      <c r="D32" s="477">
        <v>42825</v>
      </c>
      <c r="E32" s="464"/>
      <c r="F32" s="463">
        <v>1727</v>
      </c>
      <c r="G32" s="463">
        <v>1727</v>
      </c>
      <c r="H32" s="463">
        <v>1727</v>
      </c>
    </row>
    <row r="33" spans="1:8" ht="15" x14ac:dyDescent="0.25">
      <c r="A33" s="449">
        <v>29</v>
      </c>
      <c r="B33" s="461" t="s">
        <v>856</v>
      </c>
      <c r="C33" s="461" t="s">
        <v>857</v>
      </c>
      <c r="D33" s="477">
        <v>42916</v>
      </c>
      <c r="E33" s="462"/>
      <c r="F33" s="463">
        <v>1270</v>
      </c>
      <c r="G33" s="463">
        <v>1270</v>
      </c>
      <c r="H33" s="463">
        <v>1270</v>
      </c>
    </row>
    <row r="34" spans="1:8" ht="15" x14ac:dyDescent="0.25">
      <c r="A34" s="449">
        <v>30</v>
      </c>
      <c r="B34" s="461"/>
      <c r="C34" s="461" t="s">
        <v>858</v>
      </c>
      <c r="D34" s="477" t="s">
        <v>353</v>
      </c>
      <c r="E34" s="462"/>
      <c r="F34" s="463">
        <v>355</v>
      </c>
      <c r="G34" s="463">
        <v>355</v>
      </c>
      <c r="H34" s="463">
        <v>355</v>
      </c>
    </row>
    <row r="35" spans="1:8" ht="15" x14ac:dyDescent="0.25">
      <c r="A35" s="449">
        <v>31</v>
      </c>
      <c r="B35" s="461"/>
      <c r="C35" s="461" t="s">
        <v>859</v>
      </c>
      <c r="D35" s="477" t="s">
        <v>353</v>
      </c>
      <c r="E35" s="462"/>
      <c r="F35" s="463">
        <v>321</v>
      </c>
      <c r="G35" s="463">
        <v>321</v>
      </c>
      <c r="H35" s="463">
        <v>321</v>
      </c>
    </row>
    <row r="36" spans="1:8" ht="15" x14ac:dyDescent="0.25">
      <c r="A36" s="449">
        <v>32</v>
      </c>
      <c r="B36" s="461"/>
      <c r="C36" s="461" t="s">
        <v>860</v>
      </c>
      <c r="D36" s="477" t="s">
        <v>353</v>
      </c>
      <c r="E36" s="462"/>
      <c r="F36" s="463">
        <v>458</v>
      </c>
      <c r="G36" s="463">
        <v>458</v>
      </c>
      <c r="H36" s="463">
        <v>458</v>
      </c>
    </row>
    <row r="37" spans="1:8" ht="15" x14ac:dyDescent="0.25">
      <c r="A37" s="449">
        <v>33</v>
      </c>
      <c r="B37" s="461" t="s">
        <v>935</v>
      </c>
      <c r="C37" s="461" t="s">
        <v>936</v>
      </c>
      <c r="D37" s="477" t="s">
        <v>353</v>
      </c>
      <c r="E37" s="462"/>
      <c r="F37" s="463">
        <v>131</v>
      </c>
      <c r="G37" s="463">
        <v>131</v>
      </c>
      <c r="H37" s="463">
        <v>131</v>
      </c>
    </row>
    <row r="38" spans="1:8" ht="30" x14ac:dyDescent="0.25">
      <c r="A38" s="449">
        <v>34</v>
      </c>
      <c r="B38" s="461" t="s">
        <v>937</v>
      </c>
      <c r="C38" s="529" t="s">
        <v>938</v>
      </c>
      <c r="D38" s="477" t="s">
        <v>353</v>
      </c>
      <c r="E38" s="462"/>
      <c r="F38" s="463">
        <v>686</v>
      </c>
      <c r="G38" s="463">
        <v>686</v>
      </c>
      <c r="H38" s="463">
        <v>686</v>
      </c>
    </row>
    <row r="39" spans="1:8" ht="15" x14ac:dyDescent="0.25">
      <c r="A39" s="449"/>
      <c r="B39" s="461"/>
      <c r="C39" s="529" t="s">
        <v>939</v>
      </c>
      <c r="D39" s="477" t="s">
        <v>353</v>
      </c>
      <c r="E39" s="462"/>
      <c r="F39" s="463">
        <v>550</v>
      </c>
      <c r="G39" s="463">
        <v>550</v>
      </c>
      <c r="H39" s="463">
        <v>550</v>
      </c>
    </row>
    <row r="40" spans="1:8" ht="15" x14ac:dyDescent="0.25">
      <c r="A40" s="449"/>
      <c r="B40" s="461"/>
      <c r="C40" s="529" t="s">
        <v>934</v>
      </c>
      <c r="D40" s="477" t="s">
        <v>353</v>
      </c>
      <c r="E40" s="462"/>
      <c r="F40" s="463">
        <v>4000</v>
      </c>
      <c r="G40" s="463">
        <v>4000</v>
      </c>
      <c r="H40" s="463">
        <v>4000</v>
      </c>
    </row>
    <row r="41" spans="1:8" ht="15.75" x14ac:dyDescent="0.25">
      <c r="E41" s="479">
        <v>5934</v>
      </c>
      <c r="F41" s="479">
        <f>SUM(F11:F40)</f>
        <v>27136</v>
      </c>
      <c r="G41" s="479">
        <f>SUM(G11:G40)</f>
        <v>27136</v>
      </c>
      <c r="H41" s="479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675" t="s">
        <v>1214</v>
      </c>
      <c r="B1" s="1675"/>
      <c r="C1" s="1675"/>
      <c r="D1" s="1675"/>
      <c r="E1" s="1675"/>
      <c r="F1" s="1675"/>
      <c r="G1" s="1675"/>
      <c r="H1" s="1675"/>
    </row>
    <row r="2" spans="1:8" x14ac:dyDescent="0.2">
      <c r="A2" s="583"/>
      <c r="B2" s="583"/>
      <c r="C2" s="583"/>
      <c r="D2" s="584"/>
      <c r="E2" s="583"/>
      <c r="F2" s="583"/>
      <c r="G2" s="583"/>
      <c r="H2" s="583"/>
    </row>
    <row r="3" spans="1:8" x14ac:dyDescent="0.2">
      <c r="A3" s="1679" t="s">
        <v>78</v>
      </c>
      <c r="B3" s="1679"/>
      <c r="C3" s="1679"/>
      <c r="D3" s="1679"/>
      <c r="E3" s="1679"/>
      <c r="F3" s="1679"/>
      <c r="G3" s="1679"/>
      <c r="H3" s="1679"/>
    </row>
    <row r="4" spans="1:8" ht="14.25" x14ac:dyDescent="0.2">
      <c r="A4" s="1667" t="s">
        <v>337</v>
      </c>
      <c r="B4" s="1667"/>
      <c r="C4" s="1667"/>
      <c r="D4" s="1667"/>
      <c r="E4" s="1667"/>
      <c r="F4" s="1667"/>
      <c r="G4" s="1667"/>
      <c r="H4" s="1667"/>
    </row>
    <row r="5" spans="1:8" ht="14.25" x14ac:dyDescent="0.2">
      <c r="A5" s="1667" t="s">
        <v>1187</v>
      </c>
      <c r="B5" s="1667"/>
      <c r="C5" s="1667"/>
      <c r="D5" s="1667"/>
      <c r="E5" s="1667"/>
      <c r="F5" s="1667"/>
      <c r="G5" s="1667"/>
      <c r="H5" s="1667"/>
    </row>
    <row r="6" spans="1:8" ht="14.25" x14ac:dyDescent="0.2">
      <c r="A6" s="1668" t="s">
        <v>55</v>
      </c>
      <c r="B6" s="1668"/>
      <c r="C6" s="1668"/>
      <c r="D6" s="1668"/>
      <c r="E6" s="1668"/>
      <c r="F6" s="1668"/>
      <c r="G6" s="1668"/>
      <c r="H6" s="1668"/>
    </row>
    <row r="7" spans="1:8" ht="15" x14ac:dyDescent="0.25">
      <c r="A7" s="646"/>
      <c r="B7" s="647"/>
      <c r="C7" s="647"/>
      <c r="D7" s="647"/>
      <c r="E7" s="647"/>
      <c r="F7" s="583"/>
      <c r="G7" s="583"/>
      <c r="H7" s="583"/>
    </row>
    <row r="8" spans="1:8" ht="14.25" customHeight="1" x14ac:dyDescent="0.2">
      <c r="A8" s="1676"/>
      <c r="B8" s="648" t="s">
        <v>57</v>
      </c>
      <c r="C8" s="648" t="s">
        <v>58</v>
      </c>
      <c r="D8" s="648" t="s">
        <v>59</v>
      </c>
      <c r="E8" s="648" t="s">
        <v>60</v>
      </c>
      <c r="F8" s="649" t="s">
        <v>498</v>
      </c>
      <c r="G8" s="649" t="s">
        <v>499</v>
      </c>
      <c r="H8" s="649" t="s">
        <v>500</v>
      </c>
    </row>
    <row r="9" spans="1:8" ht="14.25" customHeight="1" x14ac:dyDescent="0.2">
      <c r="A9" s="1676"/>
      <c r="B9" s="1677" t="s">
        <v>339</v>
      </c>
      <c r="C9" s="1678" t="s">
        <v>340</v>
      </c>
      <c r="D9" s="1678" t="s">
        <v>341</v>
      </c>
      <c r="E9" s="650"/>
      <c r="F9" s="651"/>
      <c r="G9" s="652"/>
      <c r="H9" s="652"/>
    </row>
    <row r="10" spans="1:8" ht="14.25" customHeight="1" x14ac:dyDescent="0.2">
      <c r="A10" s="1676"/>
      <c r="B10" s="1677"/>
      <c r="C10" s="1678"/>
      <c r="D10" s="1678"/>
      <c r="E10" s="653" t="s">
        <v>758</v>
      </c>
      <c r="F10" s="654" t="s">
        <v>985</v>
      </c>
      <c r="G10" s="655" t="s">
        <v>1188</v>
      </c>
      <c r="H10" s="655" t="s">
        <v>1189</v>
      </c>
    </row>
    <row r="11" spans="1:8" ht="15" x14ac:dyDescent="0.25">
      <c r="A11" s="292"/>
      <c r="B11" s="328" t="s">
        <v>347</v>
      </c>
      <c r="C11" s="329"/>
      <c r="D11" s="329"/>
      <c r="E11" s="583"/>
      <c r="F11" s="583"/>
      <c r="G11" s="583"/>
      <c r="H11" s="583"/>
    </row>
    <row r="12" spans="1:8" ht="15" x14ac:dyDescent="0.25">
      <c r="A12" s="656">
        <v>1</v>
      </c>
      <c r="B12" s="657" t="s">
        <v>351</v>
      </c>
      <c r="C12" s="658" t="s">
        <v>350</v>
      </c>
      <c r="D12" s="659" t="s">
        <v>353</v>
      </c>
      <c r="E12" s="660">
        <v>300</v>
      </c>
      <c r="F12" s="660">
        <v>300</v>
      </c>
      <c r="G12" s="660">
        <v>300</v>
      </c>
      <c r="H12" s="660">
        <v>300</v>
      </c>
    </row>
    <row r="13" spans="1:8" ht="15" x14ac:dyDescent="0.25">
      <c r="A13" s="656">
        <v>2</v>
      </c>
      <c r="B13" s="661" t="s">
        <v>354</v>
      </c>
      <c r="C13" s="662" t="s">
        <v>355</v>
      </c>
      <c r="D13" s="659" t="s">
        <v>353</v>
      </c>
      <c r="E13" s="663">
        <v>100</v>
      </c>
      <c r="F13" s="663">
        <v>100</v>
      </c>
      <c r="G13" s="663">
        <v>100</v>
      </c>
      <c r="H13" s="663">
        <v>100</v>
      </c>
    </row>
    <row r="14" spans="1:8" ht="15" x14ac:dyDescent="0.25">
      <c r="A14" s="656">
        <v>3</v>
      </c>
      <c r="B14" s="661" t="s">
        <v>358</v>
      </c>
      <c r="C14" s="662" t="s">
        <v>759</v>
      </c>
      <c r="D14" s="659" t="s">
        <v>353</v>
      </c>
      <c r="E14" s="663">
        <v>24241</v>
      </c>
      <c r="F14" s="663">
        <v>24241</v>
      </c>
      <c r="G14" s="663">
        <v>24241</v>
      </c>
      <c r="H14" s="663">
        <v>24241</v>
      </c>
    </row>
    <row r="15" spans="1:8" ht="15" x14ac:dyDescent="0.25">
      <c r="A15" s="656">
        <v>4</v>
      </c>
      <c r="B15" s="661" t="s">
        <v>358</v>
      </c>
      <c r="C15" s="662" t="s">
        <v>760</v>
      </c>
      <c r="D15" s="659" t="s">
        <v>353</v>
      </c>
      <c r="E15" s="663">
        <v>27321</v>
      </c>
      <c r="F15" s="663">
        <v>27321</v>
      </c>
      <c r="G15" s="663">
        <v>27321</v>
      </c>
      <c r="H15" s="663">
        <v>27321</v>
      </c>
    </row>
    <row r="16" spans="1:8" ht="15" x14ac:dyDescent="0.25">
      <c r="A16" s="656">
        <v>5</v>
      </c>
      <c r="B16" s="661" t="s">
        <v>366</v>
      </c>
      <c r="C16" s="662" t="s">
        <v>367</v>
      </c>
      <c r="D16" s="659" t="s">
        <v>353</v>
      </c>
      <c r="E16" s="663">
        <v>10</v>
      </c>
      <c r="F16" s="663">
        <v>10</v>
      </c>
      <c r="G16" s="663">
        <v>10</v>
      </c>
      <c r="H16" s="663">
        <v>10</v>
      </c>
    </row>
    <row r="17" spans="1:19" ht="15" x14ac:dyDescent="0.25">
      <c r="A17" s="656">
        <v>6</v>
      </c>
      <c r="B17" s="661" t="s">
        <v>761</v>
      </c>
      <c r="C17" s="662" t="s">
        <v>762</v>
      </c>
      <c r="D17" s="664" t="s">
        <v>353</v>
      </c>
      <c r="E17" s="663">
        <v>62</v>
      </c>
      <c r="F17" s="663">
        <v>62</v>
      </c>
      <c r="G17" s="663">
        <v>62</v>
      </c>
      <c r="H17" s="663">
        <v>62</v>
      </c>
    </row>
    <row r="18" spans="1:19" ht="15" x14ac:dyDescent="0.25">
      <c r="A18" s="656">
        <v>7</v>
      </c>
      <c r="B18" s="661" t="s">
        <v>763</v>
      </c>
      <c r="C18" s="662" t="s">
        <v>764</v>
      </c>
      <c r="D18" s="664" t="s">
        <v>353</v>
      </c>
      <c r="E18" s="663">
        <v>900</v>
      </c>
      <c r="F18" s="663">
        <v>900</v>
      </c>
      <c r="G18" s="663">
        <v>900</v>
      </c>
      <c r="H18" s="663">
        <v>900</v>
      </c>
    </row>
    <row r="19" spans="1:19" ht="15" x14ac:dyDescent="0.25">
      <c r="A19" s="656">
        <v>8</v>
      </c>
      <c r="B19" s="661" t="s">
        <v>765</v>
      </c>
      <c r="C19" s="662" t="s">
        <v>766</v>
      </c>
      <c r="D19" s="664" t="s">
        <v>353</v>
      </c>
      <c r="E19" s="663">
        <v>1190</v>
      </c>
      <c r="F19" s="663">
        <v>1190</v>
      </c>
      <c r="G19" s="663">
        <v>1190</v>
      </c>
      <c r="H19" s="663">
        <v>1190</v>
      </c>
    </row>
    <row r="20" spans="1:19" ht="15" x14ac:dyDescent="0.25">
      <c r="A20" s="656">
        <v>9</v>
      </c>
      <c r="B20" s="661" t="s">
        <v>378</v>
      </c>
      <c r="C20" s="662" t="s">
        <v>767</v>
      </c>
      <c r="D20" s="664" t="s">
        <v>353</v>
      </c>
      <c r="E20" s="663">
        <v>1600</v>
      </c>
      <c r="F20" s="663">
        <v>1600</v>
      </c>
      <c r="G20" s="663">
        <v>1600</v>
      </c>
      <c r="H20" s="663">
        <v>1600</v>
      </c>
    </row>
    <row r="21" spans="1:19" ht="31.5" customHeight="1" x14ac:dyDescent="0.25">
      <c r="A21" s="656">
        <v>10</v>
      </c>
      <c r="B21" s="665" t="s">
        <v>768</v>
      </c>
      <c r="C21" s="666" t="s">
        <v>769</v>
      </c>
      <c r="D21" s="667" t="s">
        <v>353</v>
      </c>
      <c r="E21" s="668">
        <v>35</v>
      </c>
      <c r="F21" s="668">
        <v>35</v>
      </c>
      <c r="G21" s="668">
        <v>35</v>
      </c>
      <c r="H21" s="668">
        <v>35</v>
      </c>
    </row>
    <row r="22" spans="1:19" ht="15" x14ac:dyDescent="0.25">
      <c r="A22" s="656">
        <f>A21+1</f>
        <v>11</v>
      </c>
      <c r="B22" s="662"/>
      <c r="C22" s="662" t="s">
        <v>770</v>
      </c>
      <c r="D22" s="659"/>
      <c r="E22" s="663">
        <v>1844</v>
      </c>
      <c r="F22" s="663">
        <v>1844</v>
      </c>
      <c r="G22" s="663">
        <v>1844</v>
      </c>
      <c r="H22" s="663">
        <v>1844</v>
      </c>
    </row>
    <row r="23" spans="1:19" ht="15" x14ac:dyDescent="0.25">
      <c r="A23" s="656">
        <v>12</v>
      </c>
      <c r="B23" s="661" t="s">
        <v>1009</v>
      </c>
      <c r="C23" s="662" t="s">
        <v>1006</v>
      </c>
      <c r="D23" s="659" t="s">
        <v>353</v>
      </c>
      <c r="E23" s="663">
        <v>900</v>
      </c>
      <c r="F23" s="663">
        <v>900</v>
      </c>
      <c r="G23" s="663">
        <v>900</v>
      </c>
      <c r="H23" s="663">
        <v>900</v>
      </c>
    </row>
    <row r="24" spans="1:19" ht="31.5" customHeight="1" x14ac:dyDescent="0.25">
      <c r="A24" s="656">
        <f t="shared" ref="A24:A68" si="0">A23+1</f>
        <v>13</v>
      </c>
      <c r="B24" s="461" t="s">
        <v>402</v>
      </c>
      <c r="C24" s="669" t="s">
        <v>403</v>
      </c>
      <c r="D24" s="670" t="s">
        <v>353</v>
      </c>
      <c r="E24" s="671">
        <v>40</v>
      </c>
      <c r="F24" s="671">
        <v>40</v>
      </c>
      <c r="G24" s="671">
        <v>40</v>
      </c>
      <c r="H24" s="671">
        <v>40</v>
      </c>
    </row>
    <row r="25" spans="1:19" ht="30" customHeight="1" x14ac:dyDescent="0.25">
      <c r="A25" s="656">
        <f t="shared" si="0"/>
        <v>14</v>
      </c>
      <c r="B25" s="461" t="s">
        <v>406</v>
      </c>
      <c r="C25" s="669" t="s">
        <v>771</v>
      </c>
      <c r="D25" s="670" t="s">
        <v>353</v>
      </c>
      <c r="E25" s="672">
        <v>210</v>
      </c>
      <c r="F25" s="672">
        <v>210</v>
      </c>
      <c r="G25" s="672">
        <v>210</v>
      </c>
      <c r="H25" s="672">
        <v>210</v>
      </c>
    </row>
    <row r="26" spans="1:19" ht="27" customHeight="1" x14ac:dyDescent="0.25">
      <c r="A26" s="656">
        <f t="shared" si="0"/>
        <v>15</v>
      </c>
      <c r="B26" s="665" t="s">
        <v>408</v>
      </c>
      <c r="C26" s="666" t="s">
        <v>772</v>
      </c>
      <c r="D26" s="667" t="s">
        <v>353</v>
      </c>
      <c r="E26" s="668">
        <v>199</v>
      </c>
      <c r="F26" s="668">
        <v>199</v>
      </c>
      <c r="G26" s="668">
        <v>199</v>
      </c>
      <c r="H26" s="668">
        <v>199</v>
      </c>
    </row>
    <row r="27" spans="1:19" ht="26.25" customHeight="1" x14ac:dyDescent="0.25">
      <c r="A27" s="656">
        <f t="shared" si="0"/>
        <v>16</v>
      </c>
      <c r="B27" s="665" t="s">
        <v>410</v>
      </c>
      <c r="C27" s="666" t="s">
        <v>411</v>
      </c>
      <c r="D27" s="667" t="s">
        <v>353</v>
      </c>
      <c r="E27" s="668">
        <v>1863</v>
      </c>
      <c r="F27" s="668">
        <v>1863</v>
      </c>
      <c r="G27" s="668">
        <v>1863</v>
      </c>
      <c r="H27" s="668">
        <v>1863</v>
      </c>
    </row>
    <row r="28" spans="1:19" s="674" customFormat="1" ht="30" customHeight="1" x14ac:dyDescent="0.25">
      <c r="A28" s="656">
        <f t="shared" si="0"/>
        <v>17</v>
      </c>
      <c r="B28" s="461" t="s">
        <v>1190</v>
      </c>
      <c r="C28" s="673" t="s">
        <v>1191</v>
      </c>
      <c r="D28" s="670" t="s">
        <v>353</v>
      </c>
      <c r="E28" s="464">
        <v>5985</v>
      </c>
      <c r="F28" s="464">
        <v>5985</v>
      </c>
      <c r="G28" s="464">
        <v>5985</v>
      </c>
      <c r="H28" s="464">
        <v>5985</v>
      </c>
      <c r="I28" s="465"/>
      <c r="J28" s="465"/>
      <c r="K28" s="465"/>
      <c r="L28" s="465"/>
      <c r="M28" s="465"/>
      <c r="N28" s="465"/>
      <c r="O28" s="465"/>
      <c r="P28" s="465"/>
      <c r="Q28" s="465"/>
      <c r="R28" s="465"/>
      <c r="S28" s="465"/>
    </row>
    <row r="29" spans="1:19" ht="15" x14ac:dyDescent="0.25">
      <c r="A29" s="656">
        <f t="shared" si="0"/>
        <v>18</v>
      </c>
      <c r="B29" s="662" t="s">
        <v>418</v>
      </c>
      <c r="C29" s="662" t="s">
        <v>773</v>
      </c>
      <c r="D29" s="659" t="s">
        <v>353</v>
      </c>
      <c r="E29" s="663">
        <v>36</v>
      </c>
      <c r="F29" s="663">
        <v>36</v>
      </c>
      <c r="G29" s="663">
        <v>36</v>
      </c>
      <c r="H29" s="663">
        <v>36</v>
      </c>
    </row>
    <row r="30" spans="1:19" ht="27" customHeight="1" x14ac:dyDescent="0.25">
      <c r="A30" s="656">
        <f t="shared" si="0"/>
        <v>19</v>
      </c>
      <c r="B30" s="461"/>
      <c r="C30" s="673" t="s">
        <v>774</v>
      </c>
      <c r="D30" s="670" t="s">
        <v>353</v>
      </c>
      <c r="E30" s="672">
        <v>15</v>
      </c>
      <c r="F30" s="672">
        <v>15</v>
      </c>
      <c r="G30" s="672">
        <v>15</v>
      </c>
      <c r="H30" s="672">
        <v>15</v>
      </c>
    </row>
    <row r="31" spans="1:19" ht="35.25" customHeight="1" x14ac:dyDescent="0.25">
      <c r="A31" s="656">
        <f t="shared" si="0"/>
        <v>20</v>
      </c>
      <c r="B31" s="461" t="s">
        <v>424</v>
      </c>
      <c r="C31" s="673" t="s">
        <v>425</v>
      </c>
      <c r="D31" s="670">
        <v>43497</v>
      </c>
      <c r="E31" s="464">
        <v>3553</v>
      </c>
      <c r="F31" s="464">
        <v>3553</v>
      </c>
      <c r="G31" s="464">
        <v>3553</v>
      </c>
      <c r="H31" s="464">
        <v>3553</v>
      </c>
    </row>
    <row r="32" spans="1:19" ht="30.75" customHeight="1" x14ac:dyDescent="0.25">
      <c r="A32" s="656">
        <f t="shared" si="0"/>
        <v>21</v>
      </c>
      <c r="B32" s="461" t="s">
        <v>775</v>
      </c>
      <c r="C32" s="673" t="s">
        <v>1192</v>
      </c>
      <c r="D32" s="670" t="s">
        <v>353</v>
      </c>
      <c r="E32" s="464">
        <v>1920</v>
      </c>
      <c r="F32" s="464">
        <v>1920</v>
      </c>
      <c r="G32" s="464">
        <v>1920</v>
      </c>
      <c r="H32" s="464">
        <v>1920</v>
      </c>
    </row>
    <row r="33" spans="1:19" s="674" customFormat="1" ht="27.75" customHeight="1" x14ac:dyDescent="0.25">
      <c r="A33" s="656">
        <f t="shared" si="0"/>
        <v>22</v>
      </c>
      <c r="B33" s="461" t="s">
        <v>775</v>
      </c>
      <c r="C33" s="673" t="s">
        <v>1193</v>
      </c>
      <c r="D33" s="670" t="s">
        <v>353</v>
      </c>
      <c r="E33" s="464">
        <v>1800</v>
      </c>
      <c r="F33" s="464">
        <v>1800</v>
      </c>
      <c r="G33" s="464">
        <v>1800</v>
      </c>
      <c r="H33" s="464">
        <v>1800</v>
      </c>
      <c r="I33" s="465"/>
      <c r="J33" s="465"/>
      <c r="K33" s="465"/>
      <c r="L33" s="465"/>
      <c r="M33" s="465"/>
      <c r="N33" s="465"/>
      <c r="O33" s="465"/>
      <c r="P33" s="465"/>
      <c r="Q33" s="465"/>
      <c r="R33" s="465"/>
      <c r="S33" s="465"/>
    </row>
    <row r="34" spans="1:19" ht="27.75" customHeight="1" x14ac:dyDescent="0.25">
      <c r="A34" s="656">
        <f t="shared" si="0"/>
        <v>23</v>
      </c>
      <c r="B34" s="461" t="s">
        <v>776</v>
      </c>
      <c r="C34" s="673" t="s">
        <v>777</v>
      </c>
      <c r="D34" s="670" t="s">
        <v>353</v>
      </c>
      <c r="E34" s="464">
        <v>30</v>
      </c>
      <c r="F34" s="464">
        <v>30</v>
      </c>
      <c r="G34" s="464">
        <v>30</v>
      </c>
      <c r="H34" s="464">
        <v>30</v>
      </c>
    </row>
    <row r="35" spans="1:19" ht="21.75" customHeight="1" x14ac:dyDescent="0.25">
      <c r="A35" s="656">
        <f t="shared" si="0"/>
        <v>24</v>
      </c>
      <c r="B35" s="461" t="s">
        <v>778</v>
      </c>
      <c r="C35" s="673" t="s">
        <v>779</v>
      </c>
      <c r="D35" s="670">
        <v>44196</v>
      </c>
      <c r="E35" s="464">
        <v>153</v>
      </c>
      <c r="F35" s="464">
        <v>153</v>
      </c>
      <c r="G35" s="464">
        <v>153</v>
      </c>
      <c r="H35" s="464">
        <v>153</v>
      </c>
    </row>
    <row r="36" spans="1:19" ht="24.75" customHeight="1" x14ac:dyDescent="0.25">
      <c r="A36" s="656">
        <f t="shared" si="0"/>
        <v>25</v>
      </c>
      <c r="B36" s="461" t="s">
        <v>780</v>
      </c>
      <c r="C36" s="673" t="s">
        <v>781</v>
      </c>
      <c r="D36" s="670" t="s">
        <v>353</v>
      </c>
      <c r="E36" s="464">
        <v>457</v>
      </c>
      <c r="F36" s="464">
        <v>457</v>
      </c>
      <c r="G36" s="464">
        <v>457</v>
      </c>
      <c r="H36" s="464">
        <v>457</v>
      </c>
    </row>
    <row r="37" spans="1:19" ht="28.5" customHeight="1" x14ac:dyDescent="0.25">
      <c r="A37" s="656">
        <f t="shared" si="0"/>
        <v>26</v>
      </c>
      <c r="B37" s="461" t="s">
        <v>782</v>
      </c>
      <c r="C37" s="673" t="s">
        <v>984</v>
      </c>
      <c r="D37" s="670" t="s">
        <v>353</v>
      </c>
      <c r="E37" s="464">
        <v>198</v>
      </c>
      <c r="F37" s="464">
        <v>198</v>
      </c>
      <c r="G37" s="464">
        <v>198</v>
      </c>
      <c r="H37" s="464">
        <v>198</v>
      </c>
    </row>
    <row r="38" spans="1:19" ht="36" customHeight="1" x14ac:dyDescent="0.25">
      <c r="A38" s="656">
        <f t="shared" si="0"/>
        <v>27</v>
      </c>
      <c r="B38" s="461" t="s">
        <v>783</v>
      </c>
      <c r="C38" s="673" t="s">
        <v>784</v>
      </c>
      <c r="D38" s="670" t="s">
        <v>353</v>
      </c>
      <c r="E38" s="464">
        <v>217</v>
      </c>
      <c r="F38" s="464">
        <v>217</v>
      </c>
      <c r="G38" s="464">
        <v>217</v>
      </c>
      <c r="H38" s="464">
        <v>217</v>
      </c>
    </row>
    <row r="39" spans="1:19" ht="26.25" customHeight="1" x14ac:dyDescent="0.25">
      <c r="A39" s="656">
        <f t="shared" si="0"/>
        <v>28</v>
      </c>
      <c r="B39" s="461" t="s">
        <v>131</v>
      </c>
      <c r="C39" s="673" t="s">
        <v>785</v>
      </c>
      <c r="D39" s="670" t="s">
        <v>353</v>
      </c>
      <c r="E39" s="464">
        <v>1200</v>
      </c>
      <c r="F39" s="464">
        <v>1200</v>
      </c>
      <c r="G39" s="464">
        <v>1200</v>
      </c>
      <c r="H39" s="464">
        <v>1200</v>
      </c>
    </row>
    <row r="40" spans="1:19" ht="30.75" customHeight="1" x14ac:dyDescent="0.25">
      <c r="A40" s="656">
        <f t="shared" si="0"/>
        <v>29</v>
      </c>
      <c r="B40" s="461" t="s">
        <v>786</v>
      </c>
      <c r="C40" s="673" t="s">
        <v>787</v>
      </c>
      <c r="D40" s="670">
        <v>43709</v>
      </c>
      <c r="E40" s="464">
        <v>2439</v>
      </c>
      <c r="F40" s="464">
        <v>2439</v>
      </c>
      <c r="G40" s="464">
        <v>2439</v>
      </c>
      <c r="H40" s="464">
        <v>2439</v>
      </c>
    </row>
    <row r="41" spans="1:19" ht="36" customHeight="1" x14ac:dyDescent="0.25">
      <c r="A41" s="656">
        <f t="shared" si="0"/>
        <v>30</v>
      </c>
      <c r="B41" s="675" t="s">
        <v>788</v>
      </c>
      <c r="C41" s="673" t="s">
        <v>789</v>
      </c>
      <c r="D41" s="670" t="s">
        <v>353</v>
      </c>
      <c r="E41" s="463">
        <v>508</v>
      </c>
      <c r="F41" s="463">
        <v>508</v>
      </c>
      <c r="G41" s="463">
        <v>508</v>
      </c>
      <c r="H41" s="463">
        <v>508</v>
      </c>
    </row>
    <row r="42" spans="1:19" ht="30" customHeight="1" x14ac:dyDescent="0.25">
      <c r="A42" s="656">
        <f t="shared" si="0"/>
        <v>31</v>
      </c>
      <c r="B42" s="675"/>
      <c r="C42" s="673" t="s">
        <v>790</v>
      </c>
      <c r="D42" s="670" t="s">
        <v>353</v>
      </c>
      <c r="E42" s="463">
        <v>230</v>
      </c>
      <c r="F42" s="463">
        <v>230</v>
      </c>
      <c r="G42" s="463">
        <v>230</v>
      </c>
      <c r="H42" s="463">
        <v>230</v>
      </c>
    </row>
    <row r="43" spans="1:19" ht="15" x14ac:dyDescent="0.25">
      <c r="A43" s="656">
        <v>32</v>
      </c>
      <c r="B43" s="461" t="s">
        <v>1194</v>
      </c>
      <c r="C43" s="461" t="s">
        <v>791</v>
      </c>
      <c r="D43" s="670">
        <v>43251</v>
      </c>
      <c r="E43" s="463">
        <v>302</v>
      </c>
      <c r="F43" s="463">
        <v>302</v>
      </c>
      <c r="G43" s="463">
        <v>302</v>
      </c>
      <c r="H43" s="463">
        <v>302</v>
      </c>
    </row>
    <row r="44" spans="1:19" ht="15" x14ac:dyDescent="0.25">
      <c r="A44" s="656">
        <v>33</v>
      </c>
      <c r="B44" s="461" t="s">
        <v>792</v>
      </c>
      <c r="C44" s="461" t="s">
        <v>793</v>
      </c>
      <c r="D44" s="670" t="s">
        <v>1195</v>
      </c>
      <c r="E44" s="463">
        <v>10672</v>
      </c>
      <c r="F44" s="463">
        <v>10672</v>
      </c>
      <c r="G44" s="463">
        <v>10672</v>
      </c>
      <c r="H44" s="463"/>
    </row>
    <row r="45" spans="1:19" ht="15" x14ac:dyDescent="0.25">
      <c r="A45" s="656">
        <f t="shared" si="0"/>
        <v>34</v>
      </c>
      <c r="B45" s="461" t="s">
        <v>794</v>
      </c>
      <c r="C45" s="461" t="s">
        <v>795</v>
      </c>
      <c r="D45" s="670" t="s">
        <v>353</v>
      </c>
      <c r="E45" s="463">
        <v>5760</v>
      </c>
      <c r="F45" s="463">
        <v>5760</v>
      </c>
      <c r="G45" s="463">
        <v>5760</v>
      </c>
      <c r="H45" s="463">
        <v>5760</v>
      </c>
    </row>
    <row r="46" spans="1:19" ht="15" x14ac:dyDescent="0.25">
      <c r="A46" s="656">
        <f t="shared" si="0"/>
        <v>35</v>
      </c>
      <c r="B46" s="461" t="s">
        <v>796</v>
      </c>
      <c r="C46" s="461" t="s">
        <v>797</v>
      </c>
      <c r="D46" s="670" t="s">
        <v>353</v>
      </c>
      <c r="E46" s="463">
        <v>3658</v>
      </c>
      <c r="F46" s="463">
        <v>3658</v>
      </c>
      <c r="G46" s="463">
        <v>3658</v>
      </c>
      <c r="H46" s="463">
        <v>3658</v>
      </c>
    </row>
    <row r="47" spans="1:19" ht="15" x14ac:dyDescent="0.25">
      <c r="A47" s="656">
        <f t="shared" si="0"/>
        <v>36</v>
      </c>
      <c r="B47" s="461" t="s">
        <v>119</v>
      </c>
      <c r="C47" s="461" t="s">
        <v>799</v>
      </c>
      <c r="D47" s="670" t="s">
        <v>353</v>
      </c>
      <c r="E47" s="463">
        <v>242</v>
      </c>
      <c r="F47" s="463">
        <v>242</v>
      </c>
      <c r="G47" s="463">
        <v>242</v>
      </c>
      <c r="H47" s="463">
        <v>242</v>
      </c>
    </row>
    <row r="48" spans="1:19" ht="15" x14ac:dyDescent="0.25">
      <c r="A48" s="656">
        <f t="shared" si="0"/>
        <v>37</v>
      </c>
      <c r="B48" s="461" t="s">
        <v>800</v>
      </c>
      <c r="C48" s="461" t="s">
        <v>801</v>
      </c>
      <c r="D48" s="670" t="s">
        <v>353</v>
      </c>
      <c r="E48" s="463">
        <v>993</v>
      </c>
      <c r="F48" s="463">
        <v>993</v>
      </c>
      <c r="G48" s="463">
        <v>993</v>
      </c>
      <c r="H48" s="463">
        <v>993</v>
      </c>
    </row>
    <row r="49" spans="1:11" ht="30" x14ac:dyDescent="0.25">
      <c r="A49" s="656">
        <f t="shared" si="0"/>
        <v>38</v>
      </c>
      <c r="B49" s="675" t="s">
        <v>802</v>
      </c>
      <c r="C49" s="673" t="s">
        <v>803</v>
      </c>
      <c r="D49" s="670" t="s">
        <v>353</v>
      </c>
      <c r="E49" s="463">
        <v>38</v>
      </c>
      <c r="F49" s="463">
        <v>38</v>
      </c>
      <c r="G49" s="463">
        <v>38</v>
      </c>
      <c r="H49" s="463">
        <v>38</v>
      </c>
    </row>
    <row r="50" spans="1:11" ht="15" customHeight="1" x14ac:dyDescent="0.25">
      <c r="A50" s="656">
        <f t="shared" si="0"/>
        <v>39</v>
      </c>
      <c r="B50" s="461"/>
      <c r="C50" s="461" t="s">
        <v>804</v>
      </c>
      <c r="D50" s="670" t="s">
        <v>353</v>
      </c>
      <c r="E50" s="463">
        <v>45</v>
      </c>
      <c r="F50" s="463">
        <v>45</v>
      </c>
      <c r="G50" s="463">
        <v>45</v>
      </c>
      <c r="H50" s="463">
        <v>45</v>
      </c>
    </row>
    <row r="51" spans="1:11" ht="15" x14ac:dyDescent="0.25">
      <c r="A51" s="656">
        <f t="shared" si="0"/>
        <v>40</v>
      </c>
      <c r="B51" s="461" t="s">
        <v>1196</v>
      </c>
      <c r="C51" s="461" t="s">
        <v>805</v>
      </c>
      <c r="D51" s="670">
        <v>43190</v>
      </c>
      <c r="E51" s="463">
        <v>610</v>
      </c>
      <c r="F51" s="463">
        <v>610</v>
      </c>
      <c r="G51" s="463">
        <v>610</v>
      </c>
      <c r="H51" s="463">
        <v>610</v>
      </c>
    </row>
    <row r="52" spans="1:11" ht="15" x14ac:dyDescent="0.25">
      <c r="A52" s="656">
        <f t="shared" si="0"/>
        <v>41</v>
      </c>
      <c r="B52" s="461" t="s">
        <v>1197</v>
      </c>
      <c r="C52" s="461" t="s">
        <v>806</v>
      </c>
      <c r="D52" s="670">
        <v>43190</v>
      </c>
      <c r="E52" s="463">
        <v>610</v>
      </c>
      <c r="F52" s="463">
        <v>610</v>
      </c>
      <c r="G52" s="463">
        <v>610</v>
      </c>
      <c r="H52" s="463">
        <v>610</v>
      </c>
    </row>
    <row r="53" spans="1:11" ht="15" x14ac:dyDescent="0.25">
      <c r="A53" s="656">
        <f t="shared" si="0"/>
        <v>42</v>
      </c>
      <c r="B53" s="461" t="s">
        <v>807</v>
      </c>
      <c r="C53" s="461" t="s">
        <v>808</v>
      </c>
      <c r="D53" s="670">
        <v>42825</v>
      </c>
      <c r="E53" s="463">
        <v>210</v>
      </c>
      <c r="F53" s="463">
        <v>210</v>
      </c>
      <c r="G53" s="463">
        <v>210</v>
      </c>
      <c r="H53" s="463">
        <v>210</v>
      </c>
    </row>
    <row r="54" spans="1:11" ht="15" x14ac:dyDescent="0.25">
      <c r="A54" s="656">
        <f t="shared" si="0"/>
        <v>43</v>
      </c>
      <c r="B54" s="461" t="s">
        <v>809</v>
      </c>
      <c r="C54" s="461" t="s">
        <v>810</v>
      </c>
      <c r="D54" s="670">
        <v>42855</v>
      </c>
      <c r="E54" s="463">
        <v>972</v>
      </c>
      <c r="F54" s="463">
        <v>972</v>
      </c>
      <c r="G54" s="463">
        <v>972</v>
      </c>
      <c r="H54" s="463">
        <v>972</v>
      </c>
    </row>
    <row r="55" spans="1:11" ht="15" x14ac:dyDescent="0.25">
      <c r="A55" s="656">
        <f t="shared" si="0"/>
        <v>44</v>
      </c>
      <c r="B55" s="461" t="s">
        <v>798</v>
      </c>
      <c r="C55" s="461" t="s">
        <v>811</v>
      </c>
      <c r="D55" s="670" t="s">
        <v>353</v>
      </c>
      <c r="E55" s="463">
        <v>486</v>
      </c>
      <c r="F55" s="463">
        <v>486</v>
      </c>
      <c r="G55" s="463">
        <v>486</v>
      </c>
      <c r="H55" s="463">
        <v>486</v>
      </c>
    </row>
    <row r="56" spans="1:11" ht="15.75" x14ac:dyDescent="0.25">
      <c r="A56" s="656">
        <v>45</v>
      </c>
      <c r="B56" s="676"/>
      <c r="C56" s="461" t="s">
        <v>812</v>
      </c>
      <c r="D56" s="677" t="s">
        <v>353</v>
      </c>
      <c r="E56" s="463">
        <v>175</v>
      </c>
      <c r="F56" s="463">
        <v>175</v>
      </c>
      <c r="G56" s="463">
        <v>175</v>
      </c>
      <c r="H56" s="463">
        <v>175</v>
      </c>
    </row>
    <row r="57" spans="1:11" ht="15.75" x14ac:dyDescent="0.25">
      <c r="A57" s="656">
        <f t="shared" si="0"/>
        <v>46</v>
      </c>
      <c r="B57" s="676"/>
      <c r="C57" s="461" t="s">
        <v>813</v>
      </c>
      <c r="D57" s="677" t="s">
        <v>353</v>
      </c>
      <c r="E57" s="463">
        <v>55</v>
      </c>
      <c r="F57" s="463">
        <v>55</v>
      </c>
      <c r="G57" s="463">
        <v>55</v>
      </c>
      <c r="H57" s="463">
        <v>55</v>
      </c>
    </row>
    <row r="58" spans="1:11" ht="15" x14ac:dyDescent="0.25">
      <c r="A58" s="656">
        <f t="shared" si="0"/>
        <v>47</v>
      </c>
      <c r="B58" s="676"/>
      <c r="C58" s="461" t="s">
        <v>814</v>
      </c>
      <c r="D58" s="678">
        <v>45291</v>
      </c>
      <c r="E58" s="463">
        <v>19500</v>
      </c>
      <c r="F58" s="463">
        <v>19500</v>
      </c>
      <c r="G58" s="463">
        <v>19500</v>
      </c>
      <c r="H58" s="463">
        <v>19500</v>
      </c>
    </row>
    <row r="59" spans="1:11" ht="15.75" x14ac:dyDescent="0.25">
      <c r="A59" s="656">
        <f t="shared" si="0"/>
        <v>48</v>
      </c>
      <c r="B59" s="676"/>
      <c r="C59" s="461" t="s">
        <v>815</v>
      </c>
      <c r="D59" s="677" t="s">
        <v>353</v>
      </c>
      <c r="E59" s="463">
        <v>37</v>
      </c>
      <c r="F59" s="463">
        <v>37</v>
      </c>
      <c r="G59" s="463">
        <v>37</v>
      </c>
      <c r="H59" s="463">
        <v>37</v>
      </c>
    </row>
    <row r="60" spans="1:11" ht="15.75" x14ac:dyDescent="0.25">
      <c r="A60" s="656">
        <f t="shared" si="0"/>
        <v>49</v>
      </c>
      <c r="B60" s="676"/>
      <c r="C60" s="461" t="s">
        <v>816</v>
      </c>
      <c r="D60" s="677" t="s">
        <v>353</v>
      </c>
      <c r="E60" s="463">
        <v>53</v>
      </c>
      <c r="F60" s="463">
        <v>53</v>
      </c>
      <c r="G60" s="463">
        <v>53</v>
      </c>
      <c r="H60" s="463">
        <v>53</v>
      </c>
      <c r="K60" s="463"/>
    </row>
    <row r="61" spans="1:11" ht="15.75" x14ac:dyDescent="0.25">
      <c r="A61" s="656">
        <f t="shared" si="0"/>
        <v>50</v>
      </c>
      <c r="B61" s="676"/>
      <c r="C61" s="461" t="s">
        <v>817</v>
      </c>
      <c r="D61" s="677" t="s">
        <v>353</v>
      </c>
      <c r="E61" s="463">
        <v>104</v>
      </c>
      <c r="F61" s="463">
        <v>104</v>
      </c>
      <c r="G61" s="463">
        <v>104</v>
      </c>
      <c r="H61" s="463">
        <v>104</v>
      </c>
    </row>
    <row r="62" spans="1:11" ht="15.75" x14ac:dyDescent="0.25">
      <c r="A62" s="656">
        <f t="shared" si="0"/>
        <v>51</v>
      </c>
      <c r="B62" s="676"/>
      <c r="C62" s="461" t="s">
        <v>818</v>
      </c>
      <c r="D62" s="677" t="s">
        <v>353</v>
      </c>
      <c r="E62" s="463">
        <v>192</v>
      </c>
      <c r="F62" s="463">
        <v>192</v>
      </c>
      <c r="G62" s="463">
        <v>192</v>
      </c>
      <c r="H62" s="463">
        <v>192</v>
      </c>
    </row>
    <row r="63" spans="1:11" ht="15.75" x14ac:dyDescent="0.25">
      <c r="A63" s="656">
        <f t="shared" si="0"/>
        <v>52</v>
      </c>
      <c r="B63" s="676"/>
      <c r="C63" s="461" t="s">
        <v>819</v>
      </c>
      <c r="D63" s="677" t="s">
        <v>353</v>
      </c>
      <c r="E63" s="463">
        <v>134</v>
      </c>
      <c r="F63" s="463">
        <v>134</v>
      </c>
      <c r="G63" s="463">
        <v>134</v>
      </c>
      <c r="H63" s="463">
        <v>134</v>
      </c>
    </row>
    <row r="64" spans="1:11" ht="15.75" x14ac:dyDescent="0.25">
      <c r="A64" s="656">
        <f t="shared" si="0"/>
        <v>53</v>
      </c>
      <c r="B64" s="676"/>
      <c r="C64" s="461" t="s">
        <v>820</v>
      </c>
      <c r="D64" s="677" t="s">
        <v>353</v>
      </c>
      <c r="E64" s="463">
        <v>159</v>
      </c>
      <c r="F64" s="463">
        <v>159</v>
      </c>
      <c r="G64" s="463">
        <v>159</v>
      </c>
      <c r="H64" s="463">
        <v>159</v>
      </c>
    </row>
    <row r="65" spans="1:11" ht="15" x14ac:dyDescent="0.25">
      <c r="A65" s="656">
        <f t="shared" si="0"/>
        <v>54</v>
      </c>
      <c r="B65" s="679">
        <v>68360</v>
      </c>
      <c r="C65" s="461" t="s">
        <v>986</v>
      </c>
      <c r="D65" s="680" t="s">
        <v>353</v>
      </c>
      <c r="E65" s="463">
        <v>1844</v>
      </c>
      <c r="F65" s="463">
        <v>1844</v>
      </c>
      <c r="G65" s="463">
        <v>1844</v>
      </c>
      <c r="H65" s="463">
        <v>1844</v>
      </c>
    </row>
    <row r="66" spans="1:11" ht="15" x14ac:dyDescent="0.25">
      <c r="A66" s="656">
        <f t="shared" si="0"/>
        <v>55</v>
      </c>
      <c r="B66" s="681" t="s">
        <v>930</v>
      </c>
      <c r="C66" s="461" t="s">
        <v>931</v>
      </c>
      <c r="D66" s="678">
        <v>43465</v>
      </c>
      <c r="E66" s="463">
        <v>21000</v>
      </c>
      <c r="F66" s="463">
        <v>21000</v>
      </c>
      <c r="G66" s="463">
        <v>21000</v>
      </c>
      <c r="H66" s="463">
        <v>21000</v>
      </c>
    </row>
    <row r="67" spans="1:11" ht="15" x14ac:dyDescent="0.25">
      <c r="A67" s="656">
        <f t="shared" si="0"/>
        <v>56</v>
      </c>
      <c r="B67" s="681" t="s">
        <v>932</v>
      </c>
      <c r="C67" s="461" t="s">
        <v>933</v>
      </c>
      <c r="D67" s="680" t="s">
        <v>353</v>
      </c>
      <c r="E67" s="463">
        <v>31000</v>
      </c>
      <c r="F67" s="463">
        <v>31000</v>
      </c>
      <c r="G67" s="463">
        <v>31000</v>
      </c>
      <c r="H67" s="463">
        <v>31000</v>
      </c>
      <c r="I67" s="583"/>
    </row>
    <row r="68" spans="1:11" ht="15" x14ac:dyDescent="0.25">
      <c r="A68" s="656">
        <f t="shared" si="0"/>
        <v>57</v>
      </c>
      <c r="B68" s="682"/>
      <c r="C68" s="461" t="s">
        <v>934</v>
      </c>
      <c r="D68" s="680" t="s">
        <v>353</v>
      </c>
      <c r="E68" s="463">
        <v>732</v>
      </c>
      <c r="F68" s="463">
        <v>732</v>
      </c>
      <c r="G68" s="463">
        <v>732</v>
      </c>
      <c r="H68" s="463">
        <v>732</v>
      </c>
      <c r="I68" s="583"/>
    </row>
    <row r="69" spans="1:11" ht="15" x14ac:dyDescent="0.25">
      <c r="A69" s="656">
        <v>61</v>
      </c>
      <c r="B69" s="681" t="s">
        <v>1007</v>
      </c>
      <c r="C69" s="461" t="s">
        <v>1008</v>
      </c>
      <c r="D69" s="680" t="s">
        <v>353</v>
      </c>
      <c r="E69" s="463">
        <v>3277</v>
      </c>
      <c r="F69" s="463">
        <v>3277</v>
      </c>
      <c r="G69" s="463">
        <v>3277</v>
      </c>
      <c r="H69" s="463">
        <v>3277</v>
      </c>
      <c r="I69" s="583"/>
    </row>
    <row r="70" spans="1:11" ht="30" x14ac:dyDescent="0.25">
      <c r="A70" s="656">
        <v>62</v>
      </c>
      <c r="B70" s="681" t="s">
        <v>1198</v>
      </c>
      <c r="C70" s="529" t="s">
        <v>1199</v>
      </c>
      <c r="D70" s="680" t="s">
        <v>353</v>
      </c>
      <c r="E70" s="463">
        <v>600</v>
      </c>
      <c r="F70" s="463">
        <v>600</v>
      </c>
      <c r="G70" s="463">
        <v>600</v>
      </c>
      <c r="H70" s="463">
        <v>600</v>
      </c>
      <c r="I70" s="583"/>
      <c r="J70" s="583"/>
      <c r="K70" s="583"/>
    </row>
    <row r="71" spans="1:11" ht="15" x14ac:dyDescent="0.25">
      <c r="A71" s="656">
        <v>63</v>
      </c>
      <c r="B71" s="681" t="s">
        <v>1200</v>
      </c>
      <c r="C71" s="461" t="s">
        <v>1201</v>
      </c>
      <c r="D71" s="680" t="s">
        <v>353</v>
      </c>
      <c r="E71" s="463">
        <v>283</v>
      </c>
      <c r="F71" s="463">
        <v>283</v>
      </c>
      <c r="G71" s="463">
        <v>283</v>
      </c>
      <c r="H71" s="463">
        <v>283</v>
      </c>
      <c r="I71" s="683"/>
      <c r="J71" s="683"/>
      <c r="K71" s="683"/>
    </row>
    <row r="72" spans="1:11" ht="15" x14ac:dyDescent="0.25">
      <c r="A72" s="656">
        <v>64</v>
      </c>
      <c r="B72" s="681" t="s">
        <v>1202</v>
      </c>
      <c r="C72" s="461" t="s">
        <v>1203</v>
      </c>
      <c r="D72" s="678">
        <v>46727</v>
      </c>
      <c r="E72" s="463"/>
      <c r="F72" s="463"/>
      <c r="G72" s="463">
        <v>155396</v>
      </c>
      <c r="H72" s="463">
        <v>155396</v>
      </c>
      <c r="I72" s="683"/>
      <c r="J72" s="683"/>
      <c r="K72" s="683"/>
    </row>
    <row r="73" spans="1:11" ht="15" x14ac:dyDescent="0.25">
      <c r="A73" s="656">
        <v>65</v>
      </c>
      <c r="B73" s="681" t="s">
        <v>1204</v>
      </c>
      <c r="C73" s="461" t="s">
        <v>1205</v>
      </c>
      <c r="D73" s="678" t="s">
        <v>353</v>
      </c>
      <c r="E73" s="463">
        <v>3000</v>
      </c>
      <c r="F73" s="463">
        <v>3000</v>
      </c>
      <c r="G73" s="463">
        <v>3000</v>
      </c>
      <c r="H73" s="463">
        <v>3000</v>
      </c>
      <c r="I73" s="683"/>
      <c r="J73" s="683"/>
      <c r="K73" s="683"/>
    </row>
    <row r="74" spans="1:11" ht="15" x14ac:dyDescent="0.25">
      <c r="A74" s="656">
        <v>66</v>
      </c>
      <c r="B74" s="681" t="s">
        <v>1206</v>
      </c>
      <c r="C74" s="461" t="s">
        <v>1207</v>
      </c>
      <c r="D74" s="678">
        <v>44105</v>
      </c>
      <c r="E74" s="463">
        <v>350</v>
      </c>
      <c r="F74" s="463">
        <v>350</v>
      </c>
      <c r="G74" s="463">
        <v>263</v>
      </c>
      <c r="H74" s="463">
        <v>0</v>
      </c>
      <c r="I74" s="683"/>
      <c r="J74" s="683"/>
      <c r="K74" s="683"/>
    </row>
    <row r="75" spans="1:11" ht="15.75" x14ac:dyDescent="0.25">
      <c r="A75" s="656"/>
      <c r="B75" s="676"/>
      <c r="C75" s="676"/>
      <c r="D75" s="684"/>
      <c r="E75" s="685">
        <f>SUM(E11:E74)</f>
        <v>186649</v>
      </c>
      <c r="F75" s="686">
        <f>SUM(F12:F74)</f>
        <v>186649</v>
      </c>
      <c r="G75" s="686">
        <f>SUM(G12:G74)</f>
        <v>341958</v>
      </c>
      <c r="H75" s="686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82" customWidth="1"/>
    <col min="2" max="2" width="27.7109375" style="294" customWidth="1"/>
    <col min="3" max="3" width="47.85546875" style="294" customWidth="1"/>
    <col min="4" max="4" width="9.140625" style="283"/>
    <col min="5" max="5" width="8.7109375" style="294" bestFit="1" customWidth="1"/>
    <col min="6" max="6" width="8.42578125" style="294" bestFit="1" customWidth="1"/>
    <col min="7" max="7" width="8.7109375" style="294" customWidth="1"/>
    <col min="8" max="8" width="8.85546875" style="294" customWidth="1"/>
    <col min="9" max="9" width="9.140625" style="294"/>
    <col min="10" max="16384" width="9.140625" style="285"/>
  </cols>
  <sheetData>
    <row r="1" spans="1:11" ht="14.1" customHeight="1" x14ac:dyDescent="0.25">
      <c r="C1" s="1684" t="s">
        <v>170</v>
      </c>
      <c r="D1" s="1684"/>
      <c r="E1" s="1684"/>
      <c r="F1" s="1684"/>
      <c r="G1" s="1684"/>
      <c r="H1" s="1684"/>
    </row>
    <row r="2" spans="1:11" ht="20.100000000000001" customHeight="1" x14ac:dyDescent="0.25">
      <c r="A2" s="1667" t="s">
        <v>337</v>
      </c>
      <c r="B2" s="1685"/>
      <c r="C2" s="1685"/>
      <c r="D2" s="1685"/>
      <c r="E2" s="1685"/>
      <c r="F2" s="1685"/>
      <c r="G2" s="1685"/>
      <c r="H2" s="1685"/>
    </row>
    <row r="3" spans="1:11" ht="14.1" customHeight="1" x14ac:dyDescent="0.25">
      <c r="A3" s="1667" t="s">
        <v>338</v>
      </c>
      <c r="B3" s="1685"/>
      <c r="C3" s="1685"/>
      <c r="D3" s="1685"/>
      <c r="E3" s="1685"/>
      <c r="F3" s="1685"/>
      <c r="G3" s="1685"/>
      <c r="H3" s="1685"/>
    </row>
    <row r="4" spans="1:11" ht="14.1" customHeight="1" x14ac:dyDescent="0.25">
      <c r="A4" s="1668" t="s">
        <v>55</v>
      </c>
      <c r="B4" s="1686"/>
      <c r="C4" s="1686"/>
      <c r="D4" s="1686"/>
      <c r="E4" s="1686"/>
      <c r="F4" s="1686"/>
      <c r="G4" s="1686"/>
      <c r="H4" s="1686"/>
    </row>
    <row r="5" spans="1:11" ht="14.1" customHeight="1" x14ac:dyDescent="0.25">
      <c r="A5" s="281"/>
      <c r="B5" s="282"/>
      <c r="C5" s="282"/>
      <c r="D5" s="282"/>
      <c r="E5" s="282"/>
      <c r="F5" s="282"/>
      <c r="G5" s="282"/>
      <c r="H5" s="282"/>
    </row>
    <row r="6" spans="1:11" ht="14.1" customHeight="1" x14ac:dyDescent="0.25">
      <c r="A6" s="1676"/>
      <c r="B6" s="284" t="s">
        <v>57</v>
      </c>
      <c r="C6" s="284" t="s">
        <v>58</v>
      </c>
      <c r="D6" s="284" t="s">
        <v>59</v>
      </c>
      <c r="E6" s="284" t="s">
        <v>60</v>
      </c>
      <c r="F6" s="284" t="s">
        <v>498</v>
      </c>
      <c r="G6" s="284" t="s">
        <v>499</v>
      </c>
      <c r="H6" s="284" t="s">
        <v>500</v>
      </c>
      <c r="I6" s="284" t="s">
        <v>628</v>
      </c>
    </row>
    <row r="7" spans="1:11" s="324" customFormat="1" ht="13.5" customHeight="1" x14ac:dyDescent="0.25">
      <c r="A7" s="1676"/>
      <c r="B7" s="1683" t="s">
        <v>339</v>
      </c>
      <c r="C7" s="1687" t="s">
        <v>340</v>
      </c>
      <c r="D7" s="1687" t="s">
        <v>341</v>
      </c>
      <c r="E7" s="1681" t="s">
        <v>342</v>
      </c>
      <c r="F7" s="1682"/>
      <c r="G7" s="1682"/>
      <c r="H7" s="1682"/>
      <c r="I7" s="1683"/>
      <c r="J7" s="323"/>
      <c r="K7" s="323"/>
    </row>
    <row r="8" spans="1:11" s="324" customFormat="1" ht="13.5" customHeight="1" x14ac:dyDescent="0.25">
      <c r="A8" s="1676"/>
      <c r="B8" s="1683"/>
      <c r="C8" s="1687"/>
      <c r="D8" s="1687"/>
      <c r="E8" s="325" t="s">
        <v>343</v>
      </c>
      <c r="F8" s="325" t="s">
        <v>344</v>
      </c>
      <c r="G8" s="325" t="s">
        <v>345</v>
      </c>
      <c r="H8" s="326" t="s">
        <v>346</v>
      </c>
      <c r="I8" s="325" t="s">
        <v>166</v>
      </c>
      <c r="J8" s="327"/>
      <c r="K8" s="327"/>
    </row>
    <row r="9" spans="1:11" s="324" customFormat="1" ht="13.5" customHeight="1" x14ac:dyDescent="0.25">
      <c r="A9" s="292" t="s">
        <v>507</v>
      </c>
      <c r="B9" s="328" t="s">
        <v>347</v>
      </c>
      <c r="C9" s="329"/>
      <c r="D9" s="330"/>
      <c r="E9" s="329"/>
      <c r="F9" s="329"/>
      <c r="G9" s="329"/>
      <c r="H9" s="329"/>
      <c r="I9" s="280"/>
    </row>
    <row r="10" spans="1:11" ht="13.5" customHeight="1" x14ac:dyDescent="0.25">
      <c r="A10" s="292" t="s">
        <v>515</v>
      </c>
      <c r="B10" s="331" t="s">
        <v>348</v>
      </c>
    </row>
    <row r="11" spans="1:11" ht="13.5" customHeight="1" x14ac:dyDescent="0.25">
      <c r="A11" s="292" t="s">
        <v>516</v>
      </c>
      <c r="B11" s="314" t="s">
        <v>349</v>
      </c>
      <c r="C11" s="315" t="s">
        <v>350</v>
      </c>
      <c r="D11" s="316"/>
      <c r="E11" s="315"/>
      <c r="F11" s="315"/>
      <c r="G11" s="315"/>
      <c r="H11" s="315"/>
    </row>
    <row r="12" spans="1:11" ht="13.5" customHeight="1" x14ac:dyDescent="0.25">
      <c r="A12" s="292" t="s">
        <v>517</v>
      </c>
      <c r="B12" s="314" t="s">
        <v>351</v>
      </c>
      <c r="C12" s="315" t="s">
        <v>352</v>
      </c>
      <c r="D12" s="283" t="s">
        <v>353</v>
      </c>
      <c r="E12" s="317">
        <v>300</v>
      </c>
      <c r="F12" s="317">
        <v>300</v>
      </c>
      <c r="G12" s="317">
        <v>300</v>
      </c>
      <c r="H12" s="317">
        <v>300</v>
      </c>
    </row>
    <row r="13" spans="1:11" ht="13.5" customHeight="1" x14ac:dyDescent="0.25">
      <c r="A13" s="292" t="s">
        <v>518</v>
      </c>
      <c r="B13" s="293" t="s">
        <v>354</v>
      </c>
      <c r="C13" s="294" t="s">
        <v>355</v>
      </c>
      <c r="D13" s="283" t="s">
        <v>353</v>
      </c>
      <c r="E13" s="291">
        <v>100</v>
      </c>
      <c r="F13" s="291">
        <v>100</v>
      </c>
      <c r="G13" s="291">
        <v>100</v>
      </c>
      <c r="H13" s="291">
        <v>100</v>
      </c>
      <c r="I13" s="294">
        <v>100</v>
      </c>
    </row>
    <row r="14" spans="1:11" ht="13.5" customHeight="1" x14ac:dyDescent="0.25">
      <c r="A14" s="292" t="s">
        <v>519</v>
      </c>
      <c r="B14" s="293" t="s">
        <v>356</v>
      </c>
      <c r="C14" s="294" t="s">
        <v>357</v>
      </c>
      <c r="D14" s="283" t="s">
        <v>353</v>
      </c>
      <c r="E14" s="291">
        <v>24554</v>
      </c>
      <c r="F14" s="291">
        <v>19393</v>
      </c>
      <c r="G14" s="291"/>
      <c r="H14" s="291">
        <v>24241</v>
      </c>
      <c r="I14" s="294">
        <v>24250</v>
      </c>
    </row>
    <row r="15" spans="1:11" ht="13.5" customHeight="1" x14ac:dyDescent="0.25">
      <c r="A15" s="292" t="s">
        <v>520</v>
      </c>
      <c r="B15" s="293" t="s">
        <v>358</v>
      </c>
      <c r="C15" s="294" t="s">
        <v>359</v>
      </c>
      <c r="D15" s="283" t="s">
        <v>353</v>
      </c>
      <c r="E15" s="291"/>
      <c r="F15" s="291"/>
      <c r="G15" s="291"/>
      <c r="H15" s="291"/>
    </row>
    <row r="16" spans="1:11" ht="13.5" customHeight="1" x14ac:dyDescent="0.25">
      <c r="A16" s="292" t="s">
        <v>521</v>
      </c>
      <c r="B16" s="293" t="s">
        <v>360</v>
      </c>
      <c r="C16" s="294" t="s">
        <v>361</v>
      </c>
      <c r="D16" s="283" t="s">
        <v>353</v>
      </c>
      <c r="E16" s="291">
        <v>17280</v>
      </c>
      <c r="F16" s="291">
        <v>17280</v>
      </c>
      <c r="G16" s="291">
        <v>17280</v>
      </c>
      <c r="H16" s="291">
        <v>17280</v>
      </c>
      <c r="I16" s="294">
        <v>17280</v>
      </c>
    </row>
    <row r="17" spans="1:13" ht="13.5" customHeight="1" x14ac:dyDescent="0.25">
      <c r="A17" s="292" t="s">
        <v>522</v>
      </c>
      <c r="B17" s="293" t="s">
        <v>362</v>
      </c>
      <c r="C17" s="294" t="s">
        <v>363</v>
      </c>
      <c r="D17" s="283" t="s">
        <v>353</v>
      </c>
      <c r="E17" s="291">
        <v>32739</v>
      </c>
      <c r="F17" s="291">
        <v>25858</v>
      </c>
      <c r="G17" s="291"/>
      <c r="H17" s="291">
        <v>27321</v>
      </c>
      <c r="I17" s="294">
        <v>27350</v>
      </c>
    </row>
    <row r="18" spans="1:13" ht="13.5" customHeight="1" x14ac:dyDescent="0.25">
      <c r="A18" s="292" t="s">
        <v>564</v>
      </c>
      <c r="B18" s="293"/>
      <c r="C18" s="294" t="s">
        <v>364</v>
      </c>
      <c r="D18" s="283" t="s">
        <v>353</v>
      </c>
      <c r="E18" s="291"/>
      <c r="F18" s="291"/>
      <c r="G18" s="291"/>
      <c r="H18" s="291"/>
    </row>
    <row r="19" spans="1:13" ht="13.5" customHeight="1" x14ac:dyDescent="0.25">
      <c r="A19" s="292" t="s">
        <v>565</v>
      </c>
      <c r="B19" s="293"/>
      <c r="C19" s="294" t="s">
        <v>365</v>
      </c>
      <c r="D19" s="283" t="s">
        <v>353</v>
      </c>
      <c r="E19" s="291">
        <v>23050</v>
      </c>
      <c r="F19" s="291">
        <v>23050</v>
      </c>
      <c r="G19" s="291">
        <v>23050</v>
      </c>
      <c r="H19" s="291">
        <v>23050</v>
      </c>
      <c r="I19" s="294">
        <v>23050</v>
      </c>
    </row>
    <row r="20" spans="1:13" ht="18" customHeight="1" x14ac:dyDescent="0.25">
      <c r="A20" s="292" t="s">
        <v>566</v>
      </c>
      <c r="B20" s="293" t="s">
        <v>366</v>
      </c>
      <c r="C20" s="294" t="s">
        <v>367</v>
      </c>
      <c r="D20" s="283" t="s">
        <v>353</v>
      </c>
      <c r="E20" s="291">
        <v>9</v>
      </c>
      <c r="F20" s="291">
        <v>9</v>
      </c>
      <c r="G20" s="291">
        <v>9</v>
      </c>
      <c r="H20" s="291">
        <v>9</v>
      </c>
      <c r="I20" s="294">
        <v>9</v>
      </c>
    </row>
    <row r="21" spans="1:13" ht="13.5" customHeight="1" x14ac:dyDescent="0.25">
      <c r="A21" s="292" t="s">
        <v>567</v>
      </c>
      <c r="B21" s="293" t="s">
        <v>368</v>
      </c>
      <c r="C21" s="294" t="s">
        <v>369</v>
      </c>
      <c r="D21" s="283" t="s">
        <v>353</v>
      </c>
      <c r="E21" s="291">
        <v>50</v>
      </c>
      <c r="F21" s="291">
        <v>50</v>
      </c>
      <c r="G21" s="291">
        <v>50</v>
      </c>
      <c r="H21" s="291">
        <v>100</v>
      </c>
      <c r="I21" s="294">
        <v>100</v>
      </c>
    </row>
    <row r="22" spans="1:13" ht="21" customHeight="1" x14ac:dyDescent="0.25">
      <c r="A22" s="292" t="s">
        <v>568</v>
      </c>
      <c r="B22" s="293" t="s">
        <v>370</v>
      </c>
      <c r="C22" s="294" t="s">
        <v>371</v>
      </c>
      <c r="D22" s="295" t="s">
        <v>353</v>
      </c>
      <c r="E22" s="291">
        <v>875</v>
      </c>
      <c r="F22" s="291">
        <v>875</v>
      </c>
      <c r="G22" s="291">
        <v>875</v>
      </c>
      <c r="H22" s="291">
        <v>875</v>
      </c>
      <c r="I22" s="294">
        <v>875</v>
      </c>
    </row>
    <row r="23" spans="1:13" s="287" customFormat="1" ht="30" x14ac:dyDescent="0.25">
      <c r="A23" s="292" t="s">
        <v>569</v>
      </c>
      <c r="B23" s="296" t="s">
        <v>372</v>
      </c>
      <c r="C23" s="318" t="s">
        <v>373</v>
      </c>
      <c r="D23" s="298" t="s">
        <v>353</v>
      </c>
      <c r="E23" s="319">
        <v>129</v>
      </c>
      <c r="F23" s="319">
        <v>129</v>
      </c>
      <c r="G23" s="319">
        <v>129</v>
      </c>
      <c r="H23" s="319">
        <v>193</v>
      </c>
      <c r="I23" s="304">
        <v>193</v>
      </c>
      <c r="J23" s="311"/>
      <c r="K23" s="320"/>
      <c r="M23" s="321"/>
    </row>
    <row r="24" spans="1:13" ht="17.25" customHeight="1" x14ac:dyDescent="0.25">
      <c r="A24" s="292" t="s">
        <v>570</v>
      </c>
      <c r="B24" s="293" t="s">
        <v>117</v>
      </c>
      <c r="C24" s="294" t="s">
        <v>374</v>
      </c>
      <c r="D24" s="295" t="s">
        <v>353</v>
      </c>
      <c r="E24" s="291">
        <v>125</v>
      </c>
      <c r="F24" s="291">
        <v>125</v>
      </c>
      <c r="G24" s="291">
        <v>125</v>
      </c>
      <c r="H24" s="291">
        <v>147</v>
      </c>
      <c r="I24" s="294">
        <v>147</v>
      </c>
    </row>
    <row r="25" spans="1:13" ht="15.75" customHeight="1" x14ac:dyDescent="0.25">
      <c r="A25" s="292" t="s">
        <v>571</v>
      </c>
      <c r="B25" s="293"/>
      <c r="C25" s="294" t="s">
        <v>375</v>
      </c>
      <c r="D25" s="295" t="s">
        <v>353</v>
      </c>
      <c r="E25" s="291">
        <v>54</v>
      </c>
      <c r="F25" s="291">
        <v>54</v>
      </c>
      <c r="G25" s="291">
        <v>54</v>
      </c>
      <c r="H25" s="291">
        <v>54</v>
      </c>
      <c r="I25" s="294">
        <v>54</v>
      </c>
    </row>
    <row r="26" spans="1:13" ht="13.5" customHeight="1" x14ac:dyDescent="0.25">
      <c r="A26" s="292" t="s">
        <v>573</v>
      </c>
      <c r="B26" s="293" t="s">
        <v>376</v>
      </c>
      <c r="C26" s="294" t="s">
        <v>377</v>
      </c>
      <c r="D26" s="295" t="s">
        <v>353</v>
      </c>
      <c r="E26" s="291">
        <v>100</v>
      </c>
      <c r="F26" s="291">
        <v>100</v>
      </c>
      <c r="G26" s="291">
        <v>100</v>
      </c>
      <c r="H26" s="291">
        <v>100</v>
      </c>
      <c r="I26" s="294">
        <v>100</v>
      </c>
    </row>
    <row r="27" spans="1:13" ht="13.5" customHeight="1" x14ac:dyDescent="0.25">
      <c r="A27" s="292" t="s">
        <v>574</v>
      </c>
      <c r="B27" s="293" t="s">
        <v>378</v>
      </c>
      <c r="C27" s="294" t="s">
        <v>379</v>
      </c>
      <c r="D27" s="295" t="s">
        <v>353</v>
      </c>
      <c r="E27" s="291">
        <v>1575</v>
      </c>
      <c r="F27" s="291">
        <v>1575</v>
      </c>
      <c r="G27" s="291">
        <v>1575</v>
      </c>
      <c r="H27" s="291">
        <v>1575</v>
      </c>
      <c r="I27" s="294">
        <v>1575</v>
      </c>
    </row>
    <row r="28" spans="1:13" ht="13.5" customHeight="1" x14ac:dyDescent="0.25">
      <c r="A28" s="292" t="s">
        <v>575</v>
      </c>
      <c r="B28" s="293" t="s">
        <v>380</v>
      </c>
      <c r="C28" s="294" t="s">
        <v>381</v>
      </c>
      <c r="D28" s="295" t="s">
        <v>353</v>
      </c>
      <c r="E28" s="291">
        <v>60</v>
      </c>
      <c r="F28" s="291">
        <v>60</v>
      </c>
      <c r="G28" s="291">
        <v>60</v>
      </c>
      <c r="H28" s="291">
        <v>60</v>
      </c>
      <c r="I28" s="294">
        <v>60</v>
      </c>
    </row>
    <row r="29" spans="1:13" ht="13.5" customHeight="1" x14ac:dyDescent="0.25">
      <c r="A29" s="292" t="s">
        <v>576</v>
      </c>
      <c r="B29" s="293" t="s">
        <v>382</v>
      </c>
      <c r="C29" s="294" t="s">
        <v>383</v>
      </c>
      <c r="D29" s="283" t="s">
        <v>353</v>
      </c>
      <c r="E29" s="291">
        <v>2900</v>
      </c>
      <c r="F29" s="291">
        <v>2900</v>
      </c>
      <c r="G29" s="291">
        <v>2900</v>
      </c>
      <c r="H29" s="291">
        <v>2000</v>
      </c>
      <c r="I29" s="294">
        <v>2000</v>
      </c>
    </row>
    <row r="30" spans="1:13" ht="18" customHeight="1" x14ac:dyDescent="0.25">
      <c r="A30" s="292" t="s">
        <v>577</v>
      </c>
      <c r="B30" s="296" t="s">
        <v>384</v>
      </c>
      <c r="C30" s="297" t="s">
        <v>385</v>
      </c>
      <c r="D30" s="298" t="s">
        <v>353</v>
      </c>
      <c r="E30" s="299">
        <v>383</v>
      </c>
      <c r="F30" s="299">
        <v>383</v>
      </c>
      <c r="G30" s="299">
        <v>383</v>
      </c>
      <c r="H30" s="299">
        <v>250</v>
      </c>
      <c r="I30" s="294">
        <v>250</v>
      </c>
    </row>
    <row r="31" spans="1:13" ht="18" customHeight="1" x14ac:dyDescent="0.25">
      <c r="A31" s="292" t="s">
        <v>578</v>
      </c>
      <c r="B31" s="296"/>
      <c r="C31" s="297" t="s">
        <v>118</v>
      </c>
      <c r="D31" s="298"/>
      <c r="E31" s="299"/>
      <c r="F31" s="299"/>
      <c r="G31" s="299"/>
      <c r="H31" s="299">
        <v>2980</v>
      </c>
      <c r="I31" s="294">
        <v>2980</v>
      </c>
    </row>
    <row r="32" spans="1:13" ht="18" customHeight="1" x14ac:dyDescent="0.25">
      <c r="A32" s="292" t="s">
        <v>579</v>
      </c>
      <c r="B32" s="296" t="s">
        <v>119</v>
      </c>
      <c r="C32" s="297" t="s">
        <v>120</v>
      </c>
      <c r="D32" s="298" t="s">
        <v>353</v>
      </c>
      <c r="E32" s="299"/>
      <c r="F32" s="299"/>
      <c r="G32" s="299">
        <v>248</v>
      </c>
      <c r="H32" s="299">
        <v>248</v>
      </c>
      <c r="I32" s="294">
        <v>248</v>
      </c>
    </row>
    <row r="33" spans="1:13" ht="15.75" x14ac:dyDescent="0.25">
      <c r="A33" s="292" t="s">
        <v>580</v>
      </c>
      <c r="B33" s="294" t="s">
        <v>386</v>
      </c>
      <c r="C33" s="294" t="s">
        <v>387</v>
      </c>
      <c r="D33" s="283" t="s">
        <v>388</v>
      </c>
      <c r="E33" s="294">
        <v>1936</v>
      </c>
      <c r="F33" s="294">
        <v>1718</v>
      </c>
      <c r="G33" s="294">
        <v>1718</v>
      </c>
      <c r="H33" s="294">
        <v>1650</v>
      </c>
      <c r="I33" s="294">
        <v>1650</v>
      </c>
    </row>
    <row r="34" spans="1:13" ht="17.25" customHeight="1" x14ac:dyDescent="0.25">
      <c r="A34" s="292" t="s">
        <v>600</v>
      </c>
      <c r="B34" s="293" t="s">
        <v>389</v>
      </c>
      <c r="C34" s="294" t="s">
        <v>390</v>
      </c>
      <c r="D34" s="283" t="s">
        <v>353</v>
      </c>
      <c r="E34" s="291">
        <v>2500</v>
      </c>
      <c r="F34" s="291">
        <v>2500</v>
      </c>
      <c r="G34" s="291">
        <v>2500</v>
      </c>
      <c r="H34" s="291">
        <v>2500</v>
      </c>
      <c r="I34" s="294">
        <v>2500</v>
      </c>
    </row>
    <row r="35" spans="1:13" ht="20.25" customHeight="1" x14ac:dyDescent="0.25">
      <c r="A35" s="292" t="s">
        <v>601</v>
      </c>
      <c r="B35" s="293" t="s">
        <v>391</v>
      </c>
      <c r="C35" s="294" t="s">
        <v>392</v>
      </c>
      <c r="D35" s="295">
        <v>42124</v>
      </c>
      <c r="E35" s="291">
        <v>1250</v>
      </c>
      <c r="F35" s="291">
        <v>1250</v>
      </c>
      <c r="G35" s="307">
        <v>1250</v>
      </c>
      <c r="H35" s="307">
        <v>312</v>
      </c>
    </row>
    <row r="36" spans="1:13" ht="13.5" customHeight="1" x14ac:dyDescent="0.25">
      <c r="A36" s="292" t="s">
        <v>602</v>
      </c>
      <c r="B36" s="293"/>
      <c r="C36" s="294" t="s">
        <v>393</v>
      </c>
      <c r="D36" s="283" t="s">
        <v>353</v>
      </c>
      <c r="E36" s="291">
        <v>200</v>
      </c>
      <c r="F36" s="291">
        <v>200</v>
      </c>
      <c r="G36" s="291">
        <v>258</v>
      </c>
      <c r="H36" s="291">
        <v>258</v>
      </c>
      <c r="I36" s="294">
        <v>258</v>
      </c>
    </row>
    <row r="37" spans="1:13" ht="13.5" customHeight="1" x14ac:dyDescent="0.25">
      <c r="A37" s="292" t="s">
        <v>603</v>
      </c>
      <c r="B37" s="293" t="s">
        <v>394</v>
      </c>
      <c r="C37" s="294" t="s">
        <v>395</v>
      </c>
      <c r="D37" s="283" t="s">
        <v>353</v>
      </c>
      <c r="E37" s="291">
        <v>994</v>
      </c>
      <c r="F37" s="291">
        <v>994</v>
      </c>
      <c r="G37" s="291">
        <v>994</v>
      </c>
      <c r="H37" s="291">
        <v>994</v>
      </c>
      <c r="I37" s="294">
        <v>971</v>
      </c>
    </row>
    <row r="38" spans="1:13" ht="13.5" customHeight="1" x14ac:dyDescent="0.25">
      <c r="A38" s="292" t="s">
        <v>604</v>
      </c>
      <c r="B38" s="293" t="s">
        <v>121</v>
      </c>
      <c r="C38" s="294" t="s">
        <v>122</v>
      </c>
      <c r="D38" s="283" t="s">
        <v>353</v>
      </c>
      <c r="E38" s="291">
        <v>750</v>
      </c>
      <c r="F38" s="291">
        <v>750</v>
      </c>
      <c r="G38" s="291">
        <v>762</v>
      </c>
      <c r="H38" s="291">
        <v>762</v>
      </c>
      <c r="I38" s="294">
        <v>762</v>
      </c>
    </row>
    <row r="39" spans="1:13" ht="15.75" x14ac:dyDescent="0.25">
      <c r="A39" s="292" t="s">
        <v>605</v>
      </c>
      <c r="B39" s="293" t="s">
        <v>396</v>
      </c>
      <c r="C39" s="294" t="s">
        <v>397</v>
      </c>
      <c r="D39" s="295" t="s">
        <v>353</v>
      </c>
      <c r="E39" s="283">
        <v>330</v>
      </c>
      <c r="F39" s="294">
        <v>330</v>
      </c>
      <c r="G39" s="294">
        <v>330</v>
      </c>
      <c r="H39" s="294">
        <v>330</v>
      </c>
      <c r="I39" s="294">
        <v>330</v>
      </c>
      <c r="K39" s="308"/>
      <c r="M39" s="286"/>
    </row>
    <row r="40" spans="1:13" ht="15.75" x14ac:dyDescent="0.25">
      <c r="A40" s="292" t="s">
        <v>606</v>
      </c>
      <c r="B40" s="293" t="s">
        <v>398</v>
      </c>
      <c r="C40" s="294" t="s">
        <v>399</v>
      </c>
      <c r="D40" s="295" t="s">
        <v>353</v>
      </c>
      <c r="E40" s="283">
        <v>930</v>
      </c>
      <c r="F40" s="294">
        <v>930</v>
      </c>
      <c r="G40" s="294">
        <v>930</v>
      </c>
      <c r="H40" s="294">
        <v>930</v>
      </c>
      <c r="I40" s="294">
        <v>930</v>
      </c>
      <c r="K40" s="308"/>
      <c r="M40" s="286"/>
    </row>
    <row r="41" spans="1:13" ht="15.75" x14ac:dyDescent="0.25">
      <c r="A41" s="292" t="s">
        <v>607</v>
      </c>
      <c r="B41" s="293" t="s">
        <v>123</v>
      </c>
      <c r="C41" s="294" t="s">
        <v>124</v>
      </c>
      <c r="D41" s="295" t="s">
        <v>353</v>
      </c>
      <c r="E41" s="283"/>
      <c r="G41" s="294">
        <v>823</v>
      </c>
      <c r="H41" s="294">
        <v>823</v>
      </c>
      <c r="I41" s="294">
        <v>823</v>
      </c>
      <c r="K41" s="308"/>
      <c r="M41" s="286"/>
    </row>
    <row r="42" spans="1:13" ht="14.1" customHeight="1" x14ac:dyDescent="0.25">
      <c r="A42" s="292" t="s">
        <v>608</v>
      </c>
      <c r="B42" s="294" t="s">
        <v>400</v>
      </c>
      <c r="C42" s="294" t="s">
        <v>401</v>
      </c>
      <c r="D42" s="283" t="s">
        <v>353</v>
      </c>
      <c r="E42" s="294">
        <v>16</v>
      </c>
      <c r="F42" s="294">
        <v>16</v>
      </c>
      <c r="G42" s="294">
        <v>16</v>
      </c>
      <c r="H42" s="294">
        <v>16</v>
      </c>
      <c r="I42" s="294">
        <v>16</v>
      </c>
    </row>
    <row r="43" spans="1:13" s="287" customFormat="1" ht="30" x14ac:dyDescent="0.25">
      <c r="A43" s="292" t="s">
        <v>663</v>
      </c>
      <c r="B43" s="300" t="s">
        <v>402</v>
      </c>
      <c r="C43" s="309" t="s">
        <v>403</v>
      </c>
      <c r="D43" s="302" t="s">
        <v>353</v>
      </c>
      <c r="E43" s="310">
        <v>40</v>
      </c>
      <c r="F43" s="310">
        <v>40</v>
      </c>
      <c r="G43" s="310">
        <v>40</v>
      </c>
      <c r="H43" s="310">
        <v>40</v>
      </c>
      <c r="I43" s="304">
        <v>40</v>
      </c>
      <c r="J43" s="311"/>
      <c r="K43" s="312"/>
      <c r="M43" s="288"/>
    </row>
    <row r="44" spans="1:13" s="287" customFormat="1" ht="18" customHeight="1" x14ac:dyDescent="0.25">
      <c r="A44" s="292" t="s">
        <v>664</v>
      </c>
      <c r="B44" s="300" t="s">
        <v>404</v>
      </c>
      <c r="C44" s="309" t="s">
        <v>405</v>
      </c>
      <c r="D44" s="302" t="s">
        <v>353</v>
      </c>
      <c r="E44" s="310">
        <v>994</v>
      </c>
      <c r="F44" s="310">
        <v>994</v>
      </c>
      <c r="G44" s="310">
        <v>994</v>
      </c>
      <c r="H44" s="304">
        <v>994</v>
      </c>
      <c r="I44" s="304">
        <v>994</v>
      </c>
      <c r="J44" s="311"/>
      <c r="K44" s="312"/>
      <c r="M44" s="288"/>
    </row>
    <row r="45" spans="1:13" s="287" customFormat="1" ht="15.75" x14ac:dyDescent="0.25">
      <c r="A45" s="292" t="s">
        <v>665</v>
      </c>
      <c r="B45" s="300" t="s">
        <v>406</v>
      </c>
      <c r="C45" s="309" t="s">
        <v>407</v>
      </c>
      <c r="D45" s="302" t="s">
        <v>353</v>
      </c>
      <c r="E45" s="310">
        <v>176</v>
      </c>
      <c r="F45" s="310">
        <v>176</v>
      </c>
      <c r="G45" s="310">
        <v>176</v>
      </c>
      <c r="H45" s="304">
        <v>176</v>
      </c>
      <c r="I45" s="304">
        <v>176</v>
      </c>
      <c r="J45" s="311"/>
      <c r="K45" s="312"/>
      <c r="M45" s="288"/>
    </row>
    <row r="46" spans="1:13" ht="13.5" customHeight="1" x14ac:dyDescent="0.25">
      <c r="A46" s="292" t="s">
        <v>666</v>
      </c>
      <c r="B46" s="296" t="s">
        <v>408</v>
      </c>
      <c r="C46" s="297" t="s">
        <v>409</v>
      </c>
      <c r="D46" s="298" t="s">
        <v>353</v>
      </c>
      <c r="E46" s="299">
        <v>199</v>
      </c>
      <c r="F46" s="299">
        <v>199</v>
      </c>
      <c r="G46" s="292">
        <v>199</v>
      </c>
      <c r="H46" s="299">
        <v>199</v>
      </c>
      <c r="I46" s="294">
        <v>199</v>
      </c>
    </row>
    <row r="47" spans="1:13" ht="13.5" customHeight="1" x14ac:dyDescent="0.25">
      <c r="A47" s="292" t="s">
        <v>125</v>
      </c>
      <c r="B47" s="296" t="s">
        <v>410</v>
      </c>
      <c r="C47" s="297" t="s">
        <v>411</v>
      </c>
      <c r="D47" s="298" t="s">
        <v>353</v>
      </c>
      <c r="E47" s="299">
        <v>1863</v>
      </c>
      <c r="F47" s="299">
        <v>1863</v>
      </c>
      <c r="G47" s="299">
        <v>1863</v>
      </c>
      <c r="H47" s="299">
        <v>1863</v>
      </c>
      <c r="I47" s="294">
        <v>1900</v>
      </c>
    </row>
    <row r="48" spans="1:13" ht="13.5" customHeight="1" x14ac:dyDescent="0.25">
      <c r="A48" s="292" t="s">
        <v>692</v>
      </c>
      <c r="B48" s="296" t="s">
        <v>126</v>
      </c>
      <c r="C48" s="297" t="s">
        <v>127</v>
      </c>
      <c r="D48" s="298" t="s">
        <v>353</v>
      </c>
      <c r="E48" s="299"/>
      <c r="F48" s="299"/>
      <c r="G48" s="299">
        <v>29600</v>
      </c>
      <c r="H48" s="299">
        <v>29600</v>
      </c>
      <c r="I48" s="294">
        <v>29600</v>
      </c>
    </row>
    <row r="49" spans="1:13" s="287" customFormat="1" ht="15.75" x14ac:dyDescent="0.25">
      <c r="A49" s="292" t="s">
        <v>693</v>
      </c>
      <c r="B49" s="300" t="s">
        <v>412</v>
      </c>
      <c r="C49" s="301" t="s">
        <v>413</v>
      </c>
      <c r="D49" s="302" t="s">
        <v>353</v>
      </c>
      <c r="E49" s="303">
        <v>3600</v>
      </c>
      <c r="F49" s="303">
        <v>3600</v>
      </c>
      <c r="G49" s="303">
        <v>3600</v>
      </c>
      <c r="H49" s="303">
        <v>6553</v>
      </c>
      <c r="I49" s="304">
        <v>6553</v>
      </c>
      <c r="J49" s="311"/>
      <c r="K49" s="312"/>
      <c r="M49" s="288"/>
    </row>
    <row r="50" spans="1:13" s="287" customFormat="1" ht="15.75" x14ac:dyDescent="0.25">
      <c r="A50" s="292" t="s">
        <v>128</v>
      </c>
      <c r="B50" s="300" t="s">
        <v>414</v>
      </c>
      <c r="C50" s="301" t="s">
        <v>415</v>
      </c>
      <c r="D50" s="302" t="s">
        <v>353</v>
      </c>
      <c r="E50" s="303">
        <v>123</v>
      </c>
      <c r="F50" s="303">
        <v>123</v>
      </c>
      <c r="G50" s="303">
        <v>123</v>
      </c>
      <c r="H50" s="303">
        <v>123</v>
      </c>
      <c r="I50" s="304">
        <v>123</v>
      </c>
      <c r="J50" s="311"/>
      <c r="K50" s="312"/>
      <c r="M50" s="288"/>
    </row>
    <row r="51" spans="1:13" ht="14.1" customHeight="1" x14ac:dyDescent="0.25">
      <c r="A51" s="292" t="s">
        <v>129</v>
      </c>
      <c r="B51" s="294" t="s">
        <v>416</v>
      </c>
      <c r="C51" s="294" t="s">
        <v>417</v>
      </c>
      <c r="D51" s="283" t="s">
        <v>353</v>
      </c>
      <c r="E51" s="294">
        <v>225</v>
      </c>
      <c r="F51" s="294">
        <v>225</v>
      </c>
      <c r="G51" s="294">
        <v>225</v>
      </c>
      <c r="H51" s="294">
        <v>241</v>
      </c>
      <c r="I51" s="294">
        <v>241</v>
      </c>
    </row>
    <row r="52" spans="1:13" ht="14.1" customHeight="1" x14ac:dyDescent="0.25">
      <c r="A52" s="292" t="s">
        <v>130</v>
      </c>
      <c r="B52" s="294" t="s">
        <v>131</v>
      </c>
      <c r="C52" s="294" t="s">
        <v>132</v>
      </c>
      <c r="D52" s="283" t="s">
        <v>454</v>
      </c>
      <c r="G52" s="294">
        <v>600</v>
      </c>
      <c r="H52" s="294">
        <v>1200</v>
      </c>
      <c r="I52" s="294">
        <v>1200</v>
      </c>
    </row>
    <row r="53" spans="1:13" ht="14.1" customHeight="1" x14ac:dyDescent="0.25">
      <c r="A53" s="292" t="s">
        <v>133</v>
      </c>
      <c r="B53" s="294" t="s">
        <v>134</v>
      </c>
      <c r="C53" s="294" t="s">
        <v>135</v>
      </c>
      <c r="D53" s="283" t="s">
        <v>353</v>
      </c>
      <c r="H53" s="294">
        <v>243</v>
      </c>
      <c r="I53" s="294">
        <v>243</v>
      </c>
    </row>
    <row r="54" spans="1:13" ht="14.1" customHeight="1" x14ac:dyDescent="0.25">
      <c r="A54" s="292" t="s">
        <v>136</v>
      </c>
      <c r="B54" s="294" t="s">
        <v>418</v>
      </c>
      <c r="C54" s="294" t="s">
        <v>419</v>
      </c>
      <c r="D54" s="283" t="s">
        <v>353</v>
      </c>
      <c r="E54" s="294">
        <v>26</v>
      </c>
      <c r="F54" s="294">
        <v>26</v>
      </c>
      <c r="G54" s="294">
        <v>26</v>
      </c>
      <c r="H54" s="294">
        <v>26</v>
      </c>
      <c r="I54" s="294">
        <v>26</v>
      </c>
    </row>
    <row r="55" spans="1:13" s="287" customFormat="1" ht="15.75" x14ac:dyDescent="0.25">
      <c r="A55" s="292" t="s">
        <v>137</v>
      </c>
      <c r="B55" s="300" t="s">
        <v>420</v>
      </c>
      <c r="C55" s="301" t="s">
        <v>421</v>
      </c>
      <c r="D55" s="302" t="s">
        <v>353</v>
      </c>
      <c r="E55" s="303">
        <v>5</v>
      </c>
      <c r="F55" s="303">
        <v>5</v>
      </c>
      <c r="G55" s="303">
        <v>5</v>
      </c>
      <c r="H55" s="304">
        <v>5</v>
      </c>
      <c r="I55" s="304">
        <v>5</v>
      </c>
      <c r="J55" s="311"/>
      <c r="K55" s="312"/>
      <c r="M55" s="288"/>
    </row>
    <row r="56" spans="1:13" s="289" customFormat="1" ht="13.5" customHeight="1" x14ac:dyDescent="0.25">
      <c r="A56" s="292" t="s">
        <v>138</v>
      </c>
      <c r="B56" s="300" t="s">
        <v>422</v>
      </c>
      <c r="C56" s="301" t="s">
        <v>423</v>
      </c>
      <c r="D56" s="302" t="s">
        <v>353</v>
      </c>
      <c r="E56" s="303">
        <v>250</v>
      </c>
      <c r="F56" s="303">
        <v>250</v>
      </c>
      <c r="G56" s="303">
        <v>250</v>
      </c>
      <c r="H56" s="303">
        <v>250</v>
      </c>
      <c r="I56" s="304">
        <v>250</v>
      </c>
      <c r="J56" s="305"/>
      <c r="K56" s="306"/>
      <c r="M56" s="290"/>
    </row>
    <row r="57" spans="1:13" s="289" customFormat="1" ht="13.5" customHeight="1" x14ac:dyDescent="0.25">
      <c r="A57" s="292" t="s">
        <v>139</v>
      </c>
      <c r="B57" s="300" t="s">
        <v>140</v>
      </c>
      <c r="C57" s="301" t="s">
        <v>141</v>
      </c>
      <c r="D57" s="302" t="s">
        <v>454</v>
      </c>
      <c r="E57" s="303"/>
      <c r="F57" s="303"/>
      <c r="G57" s="303">
        <v>2439</v>
      </c>
      <c r="H57" s="303">
        <v>3658</v>
      </c>
      <c r="I57" s="304">
        <v>3658</v>
      </c>
      <c r="J57" s="305"/>
      <c r="K57" s="306"/>
      <c r="M57" s="290"/>
    </row>
    <row r="58" spans="1:13" s="289" customFormat="1" ht="13.5" customHeight="1" x14ac:dyDescent="0.25">
      <c r="A58" s="292" t="s">
        <v>142</v>
      </c>
      <c r="B58" s="300" t="s">
        <v>143</v>
      </c>
      <c r="C58" s="301" t="s">
        <v>144</v>
      </c>
      <c r="D58" s="302" t="s">
        <v>454</v>
      </c>
      <c r="E58" s="303"/>
      <c r="F58" s="303"/>
      <c r="G58" s="303">
        <v>2438</v>
      </c>
      <c r="H58" s="303">
        <v>2438</v>
      </c>
      <c r="I58" s="304">
        <v>2438</v>
      </c>
      <c r="J58" s="305"/>
      <c r="K58" s="306"/>
      <c r="M58" s="290"/>
    </row>
    <row r="59" spans="1:13" s="289" customFormat="1" ht="13.5" customHeight="1" x14ac:dyDescent="0.25">
      <c r="A59" s="292" t="s">
        <v>145</v>
      </c>
      <c r="B59" s="300" t="s">
        <v>146</v>
      </c>
      <c r="C59" s="301" t="s">
        <v>147</v>
      </c>
      <c r="D59" s="302" t="s">
        <v>353</v>
      </c>
      <c r="E59" s="303"/>
      <c r="F59" s="303"/>
      <c r="G59" s="303">
        <v>610</v>
      </c>
      <c r="H59" s="303">
        <v>610</v>
      </c>
      <c r="I59" s="304">
        <v>610</v>
      </c>
      <c r="J59" s="305"/>
      <c r="K59" s="306"/>
      <c r="M59" s="290"/>
    </row>
    <row r="60" spans="1:13" s="289" customFormat="1" ht="13.5" customHeight="1" x14ac:dyDescent="0.25">
      <c r="A60" s="292" t="s">
        <v>148</v>
      </c>
      <c r="B60" s="300" t="s">
        <v>424</v>
      </c>
      <c r="C60" s="301" t="s">
        <v>425</v>
      </c>
      <c r="D60" s="302">
        <v>43496</v>
      </c>
      <c r="E60" s="303">
        <v>2865</v>
      </c>
      <c r="F60" s="303">
        <v>2865</v>
      </c>
      <c r="G60" s="303">
        <v>2865</v>
      </c>
      <c r="H60" s="303">
        <v>2865</v>
      </c>
      <c r="I60" s="304">
        <v>2865</v>
      </c>
      <c r="J60" s="305"/>
      <c r="K60" s="306"/>
      <c r="M60" s="290"/>
    </row>
    <row r="61" spans="1:13" s="289" customFormat="1" ht="13.5" customHeight="1" x14ac:dyDescent="0.25">
      <c r="A61" s="292" t="s">
        <v>149</v>
      </c>
      <c r="B61" s="300" t="s">
        <v>150</v>
      </c>
      <c r="C61" s="301" t="s">
        <v>151</v>
      </c>
      <c r="D61" s="302"/>
      <c r="E61" s="303">
        <v>175</v>
      </c>
      <c r="F61" s="303">
        <v>175</v>
      </c>
      <c r="G61" s="303">
        <v>175</v>
      </c>
      <c r="H61" s="303">
        <v>175</v>
      </c>
      <c r="I61" s="304">
        <v>175</v>
      </c>
      <c r="J61" s="305"/>
      <c r="K61" s="306"/>
      <c r="M61" s="290"/>
    </row>
    <row r="62" spans="1:13" s="289" customFormat="1" ht="13.5" customHeight="1" x14ac:dyDescent="0.25">
      <c r="A62" s="292" t="s">
        <v>152</v>
      </c>
      <c r="B62" s="300" t="s">
        <v>426</v>
      </c>
      <c r="C62" s="301" t="s">
        <v>427</v>
      </c>
      <c r="D62" s="302" t="s">
        <v>353</v>
      </c>
      <c r="E62" s="303">
        <v>217</v>
      </c>
      <c r="F62" s="303">
        <v>217</v>
      </c>
      <c r="G62" s="303">
        <v>217</v>
      </c>
      <c r="H62" s="303">
        <v>217</v>
      </c>
      <c r="I62" s="304">
        <v>217</v>
      </c>
      <c r="J62" s="305"/>
      <c r="K62" s="306"/>
      <c r="M62" s="290"/>
    </row>
    <row r="63" spans="1:13" s="289" customFormat="1" ht="13.5" customHeight="1" x14ac:dyDescent="0.25">
      <c r="A63" s="292" t="s">
        <v>153</v>
      </c>
      <c r="B63" s="293" t="s">
        <v>428</v>
      </c>
      <c r="C63" s="313" t="s">
        <v>429</v>
      </c>
      <c r="D63" s="302" t="s">
        <v>353</v>
      </c>
      <c r="E63" s="322">
        <v>15</v>
      </c>
      <c r="F63" s="322">
        <v>15</v>
      </c>
      <c r="G63" s="303">
        <v>15</v>
      </c>
      <c r="H63" s="303">
        <v>15</v>
      </c>
      <c r="I63" s="304">
        <v>15</v>
      </c>
      <c r="J63" s="305"/>
      <c r="K63" s="306"/>
      <c r="M63" s="290"/>
    </row>
    <row r="64" spans="1:13" s="289" customFormat="1" ht="13.5" customHeight="1" x14ac:dyDescent="0.25">
      <c r="A64" s="292" t="s">
        <v>154</v>
      </c>
      <c r="B64" s="293" t="s">
        <v>428</v>
      </c>
      <c r="C64" s="313" t="s">
        <v>430</v>
      </c>
      <c r="D64" s="302" t="s">
        <v>353</v>
      </c>
      <c r="E64" s="322">
        <v>150</v>
      </c>
      <c r="F64" s="322">
        <v>150</v>
      </c>
      <c r="G64" s="303">
        <v>150</v>
      </c>
      <c r="H64" s="303">
        <v>226</v>
      </c>
      <c r="I64" s="304">
        <v>226</v>
      </c>
      <c r="J64" s="305"/>
      <c r="K64" s="306"/>
      <c r="M64" s="290"/>
    </row>
    <row r="65" spans="1:13" s="289" customFormat="1" ht="13.5" customHeight="1" x14ac:dyDescent="0.25">
      <c r="A65" s="292" t="s">
        <v>155</v>
      </c>
      <c r="B65" s="293" t="s">
        <v>431</v>
      </c>
      <c r="C65" s="313" t="s">
        <v>432</v>
      </c>
      <c r="D65" s="302" t="s">
        <v>353</v>
      </c>
      <c r="E65" s="322">
        <v>75</v>
      </c>
      <c r="F65" s="322">
        <v>75</v>
      </c>
      <c r="G65" s="303">
        <v>75</v>
      </c>
      <c r="H65" s="303">
        <v>45</v>
      </c>
      <c r="I65" s="304">
        <v>45</v>
      </c>
      <c r="J65" s="305"/>
      <c r="K65" s="306"/>
      <c r="M65" s="290"/>
    </row>
    <row r="66" spans="1:13" s="289" customFormat="1" ht="13.5" customHeight="1" x14ac:dyDescent="0.25">
      <c r="A66" s="292" t="s">
        <v>156</v>
      </c>
      <c r="B66" s="300"/>
      <c r="C66" s="301" t="s">
        <v>157</v>
      </c>
      <c r="D66" s="302" t="s">
        <v>454</v>
      </c>
      <c r="E66" s="303"/>
      <c r="F66" s="303"/>
      <c r="G66" s="303">
        <v>347</v>
      </c>
      <c r="H66" s="303">
        <v>347</v>
      </c>
      <c r="I66" s="304">
        <v>347</v>
      </c>
      <c r="J66" s="305"/>
      <c r="K66" s="306"/>
      <c r="M66" s="290"/>
    </row>
    <row r="67" spans="1:13" s="289" customFormat="1" ht="13.5" customHeight="1" x14ac:dyDescent="0.25">
      <c r="A67" s="292" t="s">
        <v>158</v>
      </c>
      <c r="B67" s="300" t="s">
        <v>159</v>
      </c>
      <c r="C67" s="301" t="s">
        <v>160</v>
      </c>
      <c r="D67" s="302" t="s">
        <v>454</v>
      </c>
      <c r="E67" s="303"/>
      <c r="F67" s="303"/>
      <c r="G67" s="303">
        <v>54</v>
      </c>
      <c r="H67" s="303">
        <v>216</v>
      </c>
      <c r="I67" s="304">
        <v>216</v>
      </c>
      <c r="J67" s="305"/>
      <c r="K67" s="306"/>
      <c r="M67" s="290"/>
    </row>
    <row r="68" spans="1:13" s="289" customFormat="1" ht="13.5" customHeight="1" x14ac:dyDescent="0.25">
      <c r="A68" s="292" t="s">
        <v>161</v>
      </c>
      <c r="B68" s="300"/>
      <c r="C68" s="301" t="s">
        <v>162</v>
      </c>
      <c r="D68" s="302" t="s">
        <v>454</v>
      </c>
      <c r="E68" s="303"/>
      <c r="F68" s="303"/>
      <c r="G68" s="303">
        <v>380</v>
      </c>
      <c r="H68" s="303">
        <v>380</v>
      </c>
      <c r="I68" s="304">
        <v>380</v>
      </c>
      <c r="J68" s="305"/>
      <c r="K68" s="306"/>
      <c r="M68" s="290"/>
    </row>
    <row r="69" spans="1:13" s="289" customFormat="1" ht="13.5" customHeight="1" x14ac:dyDescent="0.25">
      <c r="A69" s="292" t="s">
        <v>163</v>
      </c>
      <c r="B69" s="300" t="s">
        <v>433</v>
      </c>
      <c r="C69" s="301" t="s">
        <v>434</v>
      </c>
      <c r="D69" s="302" t="s">
        <v>353</v>
      </c>
      <c r="E69" s="303">
        <v>1800</v>
      </c>
      <c r="F69" s="303">
        <v>1800</v>
      </c>
      <c r="G69" s="303">
        <v>1800</v>
      </c>
      <c r="H69" s="303">
        <v>1500</v>
      </c>
      <c r="I69" s="304">
        <v>1500</v>
      </c>
      <c r="J69" s="305"/>
      <c r="K69" s="306"/>
      <c r="M69" s="290"/>
    </row>
    <row r="70" spans="1:13" s="289" customFormat="1" ht="13.5" customHeight="1" x14ac:dyDescent="0.25">
      <c r="A70" s="292" t="s">
        <v>164</v>
      </c>
      <c r="B70" s="300" t="s">
        <v>435</v>
      </c>
      <c r="C70" s="301" t="s">
        <v>436</v>
      </c>
      <c r="D70" s="302" t="s">
        <v>353</v>
      </c>
      <c r="E70" s="303">
        <v>1875</v>
      </c>
      <c r="F70" s="303">
        <v>2000</v>
      </c>
      <c r="G70" s="303">
        <v>2000</v>
      </c>
      <c r="H70" s="303">
        <v>1700</v>
      </c>
      <c r="I70" s="304">
        <v>1700</v>
      </c>
      <c r="J70" s="305"/>
      <c r="K70" s="306"/>
      <c r="M70" s="290"/>
    </row>
    <row r="71" spans="1:13" ht="13.5" customHeight="1" x14ac:dyDescent="0.25">
      <c r="A71" s="292" t="s">
        <v>165</v>
      </c>
      <c r="B71" s="1680" t="s">
        <v>437</v>
      </c>
      <c r="C71" s="1680"/>
      <c r="E71" s="332">
        <f>SUM(E12:E70)</f>
        <v>127862</v>
      </c>
      <c r="F71" s="332">
        <f>SUM(F12:F70)</f>
        <v>115727</v>
      </c>
      <c r="G71" s="332">
        <f>SUM(G12:G70)</f>
        <v>108085</v>
      </c>
      <c r="H71" s="332">
        <f>SUM(H12:H70)</f>
        <v>165363</v>
      </c>
      <c r="I71" s="332">
        <f>SUM(I12:I70)</f>
        <v>164803</v>
      </c>
    </row>
    <row r="72" spans="1:13" ht="9.75" customHeight="1" x14ac:dyDescent="0.25">
      <c r="A72" s="292"/>
      <c r="B72" s="280"/>
      <c r="C72" s="293"/>
      <c r="E72" s="291"/>
      <c r="F72" s="291"/>
      <c r="G72" s="291"/>
      <c r="H72" s="291"/>
    </row>
    <row r="73" spans="1:13" ht="6.75" customHeight="1" x14ac:dyDescent="0.25">
      <c r="E73" s="291"/>
      <c r="F73" s="291"/>
      <c r="G73" s="291"/>
      <c r="H73" s="291"/>
    </row>
    <row r="74" spans="1:13" ht="13.5" customHeight="1" x14ac:dyDescent="0.25">
      <c r="E74" s="291"/>
      <c r="F74" s="291"/>
      <c r="G74" s="291"/>
      <c r="H74" s="29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9"/>
  <sheetViews>
    <sheetView zoomScale="120" workbookViewId="0">
      <selection activeCell="A12" sqref="A12:XFD12"/>
    </sheetView>
  </sheetViews>
  <sheetFormatPr defaultColWidth="9.140625" defaultRowHeight="11.25" x14ac:dyDescent="0.2"/>
  <cols>
    <col min="1" max="1" width="4.85546875" style="116" customWidth="1"/>
    <col min="2" max="2" width="42.85546875" style="116" customWidth="1"/>
    <col min="3" max="3" width="11" style="117" customWidth="1"/>
    <col min="4" max="4" width="11.42578125" style="117" customWidth="1"/>
    <col min="5" max="10" width="12" style="117" customWidth="1"/>
    <col min="11" max="11" width="37" style="117" customWidth="1"/>
    <col min="12" max="12" width="11.140625" style="117" customWidth="1"/>
    <col min="13" max="13" width="12.85546875" style="117" customWidth="1"/>
    <col min="14" max="14" width="16" style="117" customWidth="1"/>
    <col min="15" max="27" width="9.140625" style="116"/>
    <col min="28" max="16384" width="9.140625" style="10"/>
  </cols>
  <sheetData>
    <row r="1" spans="1:27" ht="12.75" customHeight="1" x14ac:dyDescent="0.2">
      <c r="A1" s="1386" t="s">
        <v>1260</v>
      </c>
      <c r="B1" s="1386"/>
      <c r="C1" s="1386"/>
      <c r="D1" s="1386"/>
      <c r="E1" s="1386"/>
      <c r="F1" s="1386"/>
      <c r="G1" s="1386"/>
      <c r="H1" s="1386"/>
      <c r="I1" s="1386"/>
      <c r="J1" s="1386"/>
      <c r="K1" s="1386"/>
      <c r="L1" s="1386"/>
      <c r="M1" s="1386"/>
      <c r="N1" s="1386"/>
    </row>
    <row r="2" spans="1:27" x14ac:dyDescent="0.2">
      <c r="B2" s="410"/>
      <c r="N2" s="118"/>
    </row>
    <row r="3" spans="1:27" s="98" customFormat="1" x14ac:dyDescent="0.2">
      <c r="A3" s="119"/>
      <c r="B3" s="1387" t="s">
        <v>54</v>
      </c>
      <c r="C3" s="1387"/>
      <c r="D3" s="1387"/>
      <c r="E3" s="1387"/>
      <c r="F3" s="1387"/>
      <c r="G3" s="1387"/>
      <c r="H3" s="1387"/>
      <c r="I3" s="1387"/>
      <c r="J3" s="1387"/>
      <c r="K3" s="1387"/>
      <c r="L3" s="1387"/>
      <c r="M3" s="1387"/>
      <c r="N3" s="138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</row>
    <row r="4" spans="1:27" s="98" customFormat="1" x14ac:dyDescent="0.2">
      <c r="A4" s="119"/>
      <c r="B4" s="1387" t="s">
        <v>1118</v>
      </c>
      <c r="C4" s="1387"/>
      <c r="D4" s="1387"/>
      <c r="E4" s="1387"/>
      <c r="F4" s="1387"/>
      <c r="G4" s="1387"/>
      <c r="H4" s="1387"/>
      <c r="I4" s="1387"/>
      <c r="J4" s="1387"/>
      <c r="K4" s="1387"/>
      <c r="L4" s="1387"/>
      <c r="M4" s="1387"/>
      <c r="N4" s="1387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</row>
    <row r="5" spans="1:27" s="98" customFormat="1" ht="12.75" customHeight="1" x14ac:dyDescent="0.2">
      <c r="A5" s="1427" t="s">
        <v>324</v>
      </c>
      <c r="B5" s="1427"/>
      <c r="C5" s="1427"/>
      <c r="D5" s="1427"/>
      <c r="E5" s="1427"/>
      <c r="F5" s="1427"/>
      <c r="G5" s="1427"/>
      <c r="H5" s="1427"/>
      <c r="I5" s="1427"/>
      <c r="J5" s="1427"/>
      <c r="K5" s="1427"/>
      <c r="L5" s="1428"/>
      <c r="M5" s="1428"/>
      <c r="N5" s="1428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s="98" customFormat="1" ht="12.75" customHeight="1" x14ac:dyDescent="0.2">
      <c r="A6" s="1429" t="s">
        <v>56</v>
      </c>
      <c r="B6" s="1402" t="s">
        <v>57</v>
      </c>
      <c r="C6" s="1431" t="s">
        <v>58</v>
      </c>
      <c r="D6" s="1432"/>
      <c r="E6" s="1432"/>
      <c r="F6" s="1432"/>
      <c r="G6" s="1432"/>
      <c r="H6" s="1432"/>
      <c r="I6" s="1432"/>
      <c r="J6" s="1432"/>
      <c r="K6" s="1" t="s">
        <v>59</v>
      </c>
      <c r="L6" s="1422" t="s">
        <v>60</v>
      </c>
      <c r="M6" s="1423"/>
      <c r="N6" s="1423"/>
      <c r="O6" s="1423"/>
      <c r="P6" s="1423"/>
      <c r="Q6" s="1423"/>
      <c r="R6" s="1423"/>
      <c r="S6" s="1424"/>
      <c r="T6" s="119"/>
      <c r="U6" s="119"/>
    </row>
    <row r="7" spans="1:27" s="98" customFormat="1" ht="12.75" customHeight="1" x14ac:dyDescent="0.2">
      <c r="A7" s="1430"/>
      <c r="B7" s="1402"/>
      <c r="C7" s="1396" t="s">
        <v>1271</v>
      </c>
      <c r="D7" s="1396"/>
      <c r="E7" s="1397"/>
      <c r="F7" s="1390" t="s">
        <v>1269</v>
      </c>
      <c r="G7" s="1391"/>
      <c r="H7" s="1390" t="s">
        <v>1270</v>
      </c>
      <c r="I7" s="1390"/>
      <c r="J7" s="1390"/>
      <c r="K7" s="2"/>
      <c r="L7" s="1425" t="s">
        <v>1271</v>
      </c>
      <c r="M7" s="1425"/>
      <c r="N7" s="1426"/>
      <c r="O7" s="1420" t="s">
        <v>1269</v>
      </c>
      <c r="P7" s="1421"/>
      <c r="Q7" s="1420" t="s">
        <v>1270</v>
      </c>
      <c r="R7" s="1420"/>
      <c r="S7" s="1420"/>
    </row>
    <row r="8" spans="1:27" s="99" customFormat="1" ht="36.6" customHeight="1" x14ac:dyDescent="0.2">
      <c r="A8" s="1430"/>
      <c r="B8" s="701" t="s">
        <v>61</v>
      </c>
      <c r="C8" s="702" t="s">
        <v>62</v>
      </c>
      <c r="D8" s="702" t="s">
        <v>63</v>
      </c>
      <c r="E8" s="703" t="s">
        <v>64</v>
      </c>
      <c r="F8" s="702" t="s">
        <v>62</v>
      </c>
      <c r="G8" s="703" t="s">
        <v>63</v>
      </c>
      <c r="H8" s="702" t="s">
        <v>62</v>
      </c>
      <c r="I8" s="702" t="s">
        <v>63</v>
      </c>
      <c r="J8" s="703" t="s">
        <v>64</v>
      </c>
      <c r="K8" s="698" t="s">
        <v>65</v>
      </c>
      <c r="L8" s="702" t="s">
        <v>62</v>
      </c>
      <c r="M8" s="702" t="s">
        <v>63</v>
      </c>
      <c r="N8" s="702" t="s">
        <v>64</v>
      </c>
      <c r="O8" s="702" t="s">
        <v>62</v>
      </c>
      <c r="P8" s="703" t="s">
        <v>63</v>
      </c>
      <c r="Q8" s="702" t="s">
        <v>62</v>
      </c>
      <c r="R8" s="703" t="s">
        <v>63</v>
      </c>
      <c r="S8" s="762" t="s">
        <v>64</v>
      </c>
    </row>
    <row r="9" spans="1:27" ht="11.45" customHeight="1" x14ac:dyDescent="0.2">
      <c r="A9" s="704">
        <v>1</v>
      </c>
      <c r="B9" s="705" t="s">
        <v>24</v>
      </c>
      <c r="C9" s="706"/>
      <c r="D9" s="706"/>
      <c r="E9" s="706"/>
      <c r="F9" s="706"/>
      <c r="G9" s="706"/>
      <c r="H9" s="706"/>
      <c r="I9" s="706"/>
      <c r="J9" s="706"/>
      <c r="K9" s="707" t="s">
        <v>25</v>
      </c>
      <c r="L9" s="706"/>
      <c r="M9" s="706"/>
      <c r="N9" s="708"/>
      <c r="O9" s="709"/>
      <c r="P9" s="709"/>
      <c r="Q9" s="709"/>
      <c r="R9" s="709"/>
      <c r="S9" s="710"/>
      <c r="T9" s="10"/>
      <c r="U9" s="10"/>
      <c r="V9" s="10"/>
      <c r="W9" s="10"/>
      <c r="X9" s="10"/>
      <c r="Y9" s="10"/>
      <c r="Z9" s="10"/>
      <c r="AA9" s="10"/>
    </row>
    <row r="10" spans="1:27" x14ac:dyDescent="0.2">
      <c r="A10" s="704">
        <f t="shared" ref="A10:A44" si="0">A9+1</f>
        <v>2</v>
      </c>
      <c r="B10" s="711"/>
      <c r="C10" s="729"/>
      <c r="D10" s="729"/>
      <c r="E10" s="729"/>
      <c r="F10" s="729"/>
      <c r="G10" s="729"/>
      <c r="H10" s="729"/>
      <c r="I10" s="729"/>
      <c r="J10" s="729"/>
      <c r="K10" s="729"/>
      <c r="L10" s="729"/>
      <c r="M10" s="729"/>
      <c r="N10" s="763"/>
      <c r="O10" s="709"/>
      <c r="P10" s="709"/>
      <c r="Q10" s="709"/>
      <c r="R10" s="709"/>
      <c r="S10" s="710"/>
      <c r="T10" s="10"/>
      <c r="U10" s="10"/>
      <c r="V10" s="10"/>
      <c r="W10" s="10"/>
      <c r="X10" s="10"/>
      <c r="Y10" s="10"/>
      <c r="Z10" s="10"/>
      <c r="AA10" s="10"/>
    </row>
    <row r="11" spans="1:27" x14ac:dyDescent="0.2">
      <c r="A11" s="704">
        <f t="shared" si="0"/>
        <v>3</v>
      </c>
      <c r="B11" s="711" t="s">
        <v>38</v>
      </c>
      <c r="C11" s="729">
        <f>Össz.önkor.mérleg.!D14</f>
        <v>0</v>
      </c>
      <c r="D11" s="729">
        <f>Össz.önkor.mérleg.!E14</f>
        <v>0</v>
      </c>
      <c r="E11" s="729">
        <f>Össz.önkor.mérleg.!F14</f>
        <v>0</v>
      </c>
      <c r="F11" s="729"/>
      <c r="G11" s="729"/>
      <c r="H11" s="729"/>
      <c r="I11" s="729"/>
      <c r="J11" s="729"/>
      <c r="K11" s="707" t="s">
        <v>34</v>
      </c>
      <c r="L11" s="706"/>
      <c r="M11" s="706"/>
      <c r="N11" s="708"/>
      <c r="O11" s="709"/>
      <c r="P11" s="709"/>
      <c r="Q11" s="709"/>
      <c r="R11" s="709"/>
      <c r="S11" s="7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704"/>
      <c r="B12" s="711"/>
      <c r="C12" s="729"/>
      <c r="D12" s="729"/>
      <c r="E12" s="729"/>
      <c r="F12" s="729"/>
      <c r="G12" s="729"/>
      <c r="H12" s="729"/>
      <c r="I12" s="729"/>
      <c r="J12" s="729"/>
      <c r="K12" s="707"/>
      <c r="L12" s="706"/>
      <c r="M12" s="706"/>
      <c r="N12" s="708"/>
      <c r="O12" s="709"/>
      <c r="P12" s="709"/>
      <c r="Q12" s="709"/>
      <c r="R12" s="709"/>
      <c r="S12" s="7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704"/>
      <c r="B13" s="711"/>
      <c r="C13" s="729"/>
      <c r="D13" s="729"/>
      <c r="E13" s="729"/>
      <c r="F13" s="729"/>
      <c r="G13" s="729"/>
      <c r="H13" s="729"/>
      <c r="I13" s="729"/>
      <c r="J13" s="729"/>
      <c r="K13" s="707"/>
      <c r="L13" s="706"/>
      <c r="M13" s="706"/>
      <c r="N13" s="708"/>
      <c r="O13" s="709"/>
      <c r="P13" s="709"/>
      <c r="Q13" s="709"/>
      <c r="R13" s="709"/>
      <c r="S13" s="7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704">
        <f>A11+1</f>
        <v>4</v>
      </c>
      <c r="B14" s="709" t="s">
        <v>673</v>
      </c>
      <c r="C14" s="729"/>
      <c r="D14" s="763"/>
      <c r="E14" s="763"/>
      <c r="F14" s="763"/>
      <c r="G14" s="763"/>
      <c r="H14" s="763"/>
      <c r="I14" s="763"/>
      <c r="J14" s="763"/>
      <c r="K14" s="729" t="s">
        <v>667</v>
      </c>
      <c r="L14" s="708">
        <f>Össz.önkor.mérleg.!M27</f>
        <v>2015914</v>
      </c>
      <c r="M14" s="708">
        <f>Össz.önkor.mérleg.!N27</f>
        <v>156473</v>
      </c>
      <c r="N14" s="708">
        <f>Össz.önkor.mérleg.!O27</f>
        <v>2172387</v>
      </c>
      <c r="O14" s="709"/>
      <c r="P14" s="709"/>
      <c r="Q14" s="709"/>
      <c r="R14" s="709"/>
      <c r="S14" s="710"/>
      <c r="T14" s="10"/>
      <c r="U14" s="10"/>
      <c r="V14" s="10"/>
      <c r="W14" s="10"/>
      <c r="X14" s="10"/>
      <c r="Y14" s="10"/>
      <c r="Z14" s="10"/>
      <c r="AA14" s="10"/>
    </row>
    <row r="15" spans="1:27" ht="12" customHeight="1" x14ac:dyDescent="0.2">
      <c r="A15" s="704">
        <f t="shared" si="0"/>
        <v>5</v>
      </c>
      <c r="B15" s="709" t="s">
        <v>43</v>
      </c>
      <c r="C15" s="729"/>
      <c r="D15" s="763"/>
      <c r="E15" s="763"/>
      <c r="F15" s="763"/>
      <c r="G15" s="763"/>
      <c r="H15" s="763"/>
      <c r="I15" s="763"/>
      <c r="J15" s="763"/>
      <c r="K15" s="729" t="s">
        <v>31</v>
      </c>
      <c r="L15" s="708">
        <f>Össz.önkor.mérleg.!M28</f>
        <v>10000</v>
      </c>
      <c r="M15" s="708">
        <f>Össz.önkor.mérleg.!N28</f>
        <v>0</v>
      </c>
      <c r="N15" s="708">
        <f>SUM(L15:M15)</f>
        <v>10000</v>
      </c>
      <c r="O15" s="709"/>
      <c r="P15" s="709"/>
      <c r="Q15" s="709"/>
      <c r="R15" s="709"/>
      <c r="S15" s="710"/>
      <c r="T15" s="10"/>
      <c r="U15" s="10"/>
      <c r="V15" s="10"/>
      <c r="W15" s="10"/>
      <c r="X15" s="10"/>
      <c r="Y15" s="10"/>
      <c r="Z15" s="10"/>
      <c r="AA15" s="10"/>
    </row>
    <row r="16" spans="1:27" x14ac:dyDescent="0.2">
      <c r="A16" s="704">
        <f t="shared" si="0"/>
        <v>6</v>
      </c>
      <c r="B16" s="711" t="s">
        <v>44</v>
      </c>
      <c r="C16" s="729">
        <f>Össz.önkor.mérleg.!D18</f>
        <v>0</v>
      </c>
      <c r="D16" s="764">
        <f>Össz.önkor.mérleg.!E24</f>
        <v>6740</v>
      </c>
      <c r="E16" s="729">
        <f>Össz.önkor.mérleg.!F24</f>
        <v>6740</v>
      </c>
      <c r="F16" s="729"/>
      <c r="G16" s="729"/>
      <c r="H16" s="729"/>
      <c r="I16" s="729"/>
      <c r="J16" s="729"/>
      <c r="K16" s="729" t="s">
        <v>32</v>
      </c>
      <c r="L16" s="708">
        <f>Össz.önkor.mérleg.!M29</f>
        <v>0</v>
      </c>
      <c r="M16" s="708">
        <f>Össz.önkor.mérleg.!N29</f>
        <v>0</v>
      </c>
      <c r="N16" s="708">
        <f>SUM(L16:M16)</f>
        <v>0</v>
      </c>
      <c r="O16" s="709"/>
      <c r="P16" s="709"/>
      <c r="Q16" s="709"/>
      <c r="R16" s="709"/>
      <c r="S16" s="710"/>
      <c r="T16" s="10"/>
      <c r="U16" s="10"/>
      <c r="V16" s="10"/>
      <c r="W16" s="10"/>
      <c r="X16" s="10"/>
      <c r="Y16" s="10"/>
      <c r="Z16" s="10"/>
      <c r="AA16" s="10"/>
    </row>
    <row r="17" spans="1:27" x14ac:dyDescent="0.2">
      <c r="A17" s="704">
        <f t="shared" si="0"/>
        <v>7</v>
      </c>
      <c r="B17" s="711" t="s">
        <v>45</v>
      </c>
      <c r="C17" s="729">
        <f>Össz.önkor.mérleg.!D25</f>
        <v>0</v>
      </c>
      <c r="D17" s="729">
        <f>Össz.önkor.mérleg.!E25</f>
        <v>0</v>
      </c>
      <c r="E17" s="729">
        <f>Össz.önkor.mérleg.!F25</f>
        <v>0</v>
      </c>
      <c r="F17" s="729"/>
      <c r="G17" s="729"/>
      <c r="H17" s="729"/>
      <c r="I17" s="729"/>
      <c r="J17" s="729"/>
      <c r="K17" s="729" t="s">
        <v>472</v>
      </c>
      <c r="L17" s="708">
        <f>Össz.önkor.mérleg.!M30</f>
        <v>0</v>
      </c>
      <c r="M17" s="708">
        <f>Össz.önkor.mérleg.!N30</f>
        <v>0</v>
      </c>
      <c r="N17" s="708">
        <f>SUM(L17:M17)</f>
        <v>0</v>
      </c>
      <c r="O17" s="709"/>
      <c r="P17" s="709"/>
      <c r="Q17" s="709"/>
      <c r="R17" s="709"/>
      <c r="S17" s="710"/>
      <c r="T17" s="10"/>
      <c r="U17" s="10"/>
      <c r="V17" s="10"/>
      <c r="W17" s="10"/>
      <c r="X17" s="10"/>
      <c r="Y17" s="10"/>
      <c r="Z17" s="10"/>
      <c r="AA17" s="10"/>
    </row>
    <row r="18" spans="1:27" x14ac:dyDescent="0.2">
      <c r="A18" s="704">
        <f t="shared" si="0"/>
        <v>8</v>
      </c>
      <c r="B18" s="711" t="s">
        <v>46</v>
      </c>
      <c r="C18" s="729">
        <f>Össz.önkor.mérleg.!D21</f>
        <v>0</v>
      </c>
      <c r="D18" s="729">
        <f>Össz.önkor.mérleg.!E26</f>
        <v>0</v>
      </c>
      <c r="E18" s="729">
        <f>Össz.önkor.mérleg.!F26</f>
        <v>0</v>
      </c>
      <c r="F18" s="729"/>
      <c r="G18" s="729"/>
      <c r="H18" s="729"/>
      <c r="I18" s="729"/>
      <c r="J18" s="729"/>
      <c r="K18" s="729" t="s">
        <v>469</v>
      </c>
      <c r="L18" s="708">
        <f>Össz.önkor.mérleg.!M31</f>
        <v>33252</v>
      </c>
      <c r="M18" s="708">
        <f>Össz.önkor.mérleg.!N31</f>
        <v>35820</v>
      </c>
      <c r="N18" s="708">
        <f>Össz.önkor.mérleg.!O31</f>
        <v>69072</v>
      </c>
      <c r="O18" s="709"/>
      <c r="P18" s="709"/>
      <c r="Q18" s="709"/>
      <c r="R18" s="709"/>
      <c r="S18" s="710"/>
      <c r="T18" s="10"/>
      <c r="U18" s="10"/>
      <c r="V18" s="10"/>
      <c r="W18" s="10"/>
      <c r="X18" s="10"/>
      <c r="Y18" s="10"/>
      <c r="Z18" s="10"/>
      <c r="AA18" s="10"/>
    </row>
    <row r="19" spans="1:27" x14ac:dyDescent="0.2">
      <c r="A19" s="704">
        <f t="shared" si="0"/>
        <v>9</v>
      </c>
      <c r="B19" s="711" t="s">
        <v>47</v>
      </c>
      <c r="C19" s="729">
        <f>Össz.önkor.mérleg.!D22</f>
        <v>0</v>
      </c>
      <c r="D19" s="729"/>
      <c r="E19" s="729"/>
      <c r="F19" s="729"/>
      <c r="G19" s="729"/>
      <c r="H19" s="729"/>
      <c r="I19" s="729"/>
      <c r="J19" s="729"/>
      <c r="K19" s="729" t="s">
        <v>465</v>
      </c>
      <c r="L19" s="708">
        <f>Össz.önkor.mérleg.!M32</f>
        <v>343892</v>
      </c>
      <c r="M19" s="708">
        <f>Össz.önkor.mérleg.!N32</f>
        <v>0</v>
      </c>
      <c r="N19" s="708">
        <f>Össz.önkor.mérleg.!O32</f>
        <v>343892</v>
      </c>
      <c r="O19" s="709"/>
      <c r="P19" s="709"/>
      <c r="Q19" s="709"/>
      <c r="R19" s="709"/>
      <c r="S19" s="710"/>
      <c r="T19" s="10"/>
      <c r="U19" s="10"/>
      <c r="V19" s="10"/>
      <c r="W19" s="10"/>
      <c r="X19" s="10"/>
      <c r="Y19" s="10"/>
      <c r="Z19" s="10"/>
      <c r="AA19" s="10"/>
    </row>
    <row r="20" spans="1:27" x14ac:dyDescent="0.2">
      <c r="A20" s="704">
        <f t="shared" si="0"/>
        <v>10</v>
      </c>
      <c r="B20" s="711"/>
      <c r="C20" s="729">
        <f>Össz.önkor.mérleg.!D23</f>
        <v>0</v>
      </c>
      <c r="D20" s="729"/>
      <c r="E20" s="729"/>
      <c r="F20" s="729"/>
      <c r="G20" s="729"/>
      <c r="H20" s="729"/>
      <c r="I20" s="729"/>
      <c r="J20" s="729"/>
      <c r="K20" s="764" t="s">
        <v>68</v>
      </c>
      <c r="L20" s="765">
        <f>SUM(L14:L19)</f>
        <v>2403058</v>
      </c>
      <c r="M20" s="765">
        <f>SUM(M14:M19)</f>
        <v>192293</v>
      </c>
      <c r="N20" s="765">
        <f>SUM(N14:N19)</f>
        <v>2595351</v>
      </c>
      <c r="O20" s="709"/>
      <c r="P20" s="709"/>
      <c r="Q20" s="709"/>
      <c r="R20" s="709"/>
      <c r="S20" s="710"/>
      <c r="T20" s="10"/>
      <c r="U20" s="10"/>
      <c r="V20" s="10"/>
      <c r="W20" s="10"/>
      <c r="X20" s="10"/>
      <c r="Y20" s="10"/>
      <c r="Z20" s="10"/>
      <c r="AA20" s="10"/>
    </row>
    <row r="21" spans="1:27" x14ac:dyDescent="0.2">
      <c r="A21" s="704">
        <f t="shared" si="0"/>
        <v>11</v>
      </c>
      <c r="B21" s="709" t="s">
        <v>674</v>
      </c>
      <c r="C21" s="729">
        <f>Össz.önkor.mérleg.!D24</f>
        <v>0</v>
      </c>
      <c r="D21" s="729">
        <f>Össz.önkor.mérleg.!E30</f>
        <v>2870</v>
      </c>
      <c r="E21" s="729">
        <f>Össz.önkor.mérleg.!F30</f>
        <v>2870</v>
      </c>
      <c r="F21" s="729"/>
      <c r="G21" s="729"/>
      <c r="H21" s="729"/>
      <c r="I21" s="729"/>
      <c r="J21" s="729"/>
      <c r="K21" s="729"/>
      <c r="L21" s="708"/>
      <c r="M21" s="708"/>
      <c r="N21" s="763"/>
      <c r="O21" s="709"/>
      <c r="P21" s="709"/>
      <c r="Q21" s="709"/>
      <c r="R21" s="709"/>
      <c r="S21" s="710"/>
      <c r="T21" s="10"/>
      <c r="U21" s="10"/>
      <c r="V21" s="10"/>
      <c r="W21" s="10"/>
      <c r="X21" s="10"/>
      <c r="Y21" s="10"/>
      <c r="Z21" s="10"/>
      <c r="AA21" s="10"/>
    </row>
    <row r="22" spans="1:27" s="100" customFormat="1" x14ac:dyDescent="0.2">
      <c r="A22" s="704">
        <f t="shared" si="0"/>
        <v>12</v>
      </c>
      <c r="B22" s="709"/>
      <c r="C22" s="729"/>
      <c r="D22" s="729"/>
      <c r="E22" s="729"/>
      <c r="F22" s="729"/>
      <c r="G22" s="729"/>
      <c r="H22" s="729"/>
      <c r="I22" s="729"/>
      <c r="J22" s="729"/>
      <c r="K22" s="708"/>
      <c r="L22" s="708"/>
      <c r="M22" s="708"/>
      <c r="N22" s="708"/>
      <c r="O22" s="715"/>
      <c r="P22" s="715"/>
      <c r="Q22" s="715"/>
      <c r="R22" s="715"/>
      <c r="S22" s="716"/>
    </row>
    <row r="23" spans="1:27" s="100" customFormat="1" x14ac:dyDescent="0.2">
      <c r="A23" s="704">
        <f t="shared" si="0"/>
        <v>13</v>
      </c>
      <c r="B23" s="721"/>
      <c r="C23" s="763"/>
      <c r="D23" s="763"/>
      <c r="E23" s="763"/>
      <c r="F23" s="763"/>
      <c r="G23" s="763"/>
      <c r="H23" s="763"/>
      <c r="I23" s="763"/>
      <c r="J23" s="763"/>
      <c r="K23" s="708"/>
      <c r="L23" s="708"/>
      <c r="M23" s="708"/>
      <c r="N23" s="708"/>
      <c r="O23" s="715"/>
      <c r="P23" s="715"/>
      <c r="Q23" s="715"/>
      <c r="R23" s="715"/>
      <c r="S23" s="716"/>
    </row>
    <row r="24" spans="1:27" x14ac:dyDescent="0.2">
      <c r="A24" s="704">
        <f t="shared" si="0"/>
        <v>14</v>
      </c>
      <c r="B24" s="766" t="s">
        <v>67</v>
      </c>
      <c r="C24" s="767">
        <f>C11+C15+C16+C17+C18+C19+C21</f>
        <v>0</v>
      </c>
      <c r="D24" s="767">
        <f>D11+D15+D16+D17+D18+D19+D21</f>
        <v>9610</v>
      </c>
      <c r="E24" s="767">
        <f>E11+E15+E16+E17+E18+E19+E21</f>
        <v>9610</v>
      </c>
      <c r="F24" s="767"/>
      <c r="G24" s="767"/>
      <c r="H24" s="767"/>
      <c r="I24" s="767"/>
      <c r="J24" s="767"/>
      <c r="K24" s="767"/>
      <c r="L24" s="767"/>
      <c r="M24" s="767"/>
      <c r="N24" s="767"/>
      <c r="O24" s="709"/>
      <c r="P24" s="709"/>
      <c r="Q24" s="709"/>
      <c r="R24" s="709"/>
      <c r="S24" s="710"/>
      <c r="T24" s="10"/>
      <c r="U24" s="10"/>
      <c r="V24" s="10"/>
      <c r="W24" s="10"/>
      <c r="X24" s="10"/>
      <c r="Y24" s="10"/>
      <c r="Z24" s="10"/>
      <c r="AA24" s="10"/>
    </row>
    <row r="25" spans="1:27" x14ac:dyDescent="0.2">
      <c r="A25" s="704">
        <f t="shared" si="0"/>
        <v>15</v>
      </c>
      <c r="B25" s="722" t="s">
        <v>51</v>
      </c>
      <c r="C25" s="706">
        <f>SUM(C23:C24)</f>
        <v>0</v>
      </c>
      <c r="D25" s="706">
        <f>SUM(D23:D24)</f>
        <v>9610</v>
      </c>
      <c r="E25" s="706">
        <f>SUM(E23:E24)</f>
        <v>9610</v>
      </c>
      <c r="F25" s="706"/>
      <c r="G25" s="706"/>
      <c r="H25" s="706"/>
      <c r="I25" s="706"/>
      <c r="J25" s="706"/>
      <c r="K25" s="706" t="s">
        <v>69</v>
      </c>
      <c r="L25" s="706">
        <f>L24+L20</f>
        <v>2403058</v>
      </c>
      <c r="M25" s="706">
        <f>M24+M20</f>
        <v>192293</v>
      </c>
      <c r="N25" s="706">
        <f>N24+N20</f>
        <v>2595351</v>
      </c>
      <c r="O25" s="709"/>
      <c r="P25" s="709"/>
      <c r="Q25" s="709"/>
      <c r="R25" s="709"/>
      <c r="S25" s="710"/>
      <c r="T25" s="10"/>
      <c r="U25" s="10"/>
      <c r="V25" s="10"/>
      <c r="W25" s="10"/>
      <c r="X25" s="10"/>
      <c r="Y25" s="10"/>
      <c r="Z25" s="10"/>
      <c r="AA25" s="10"/>
    </row>
    <row r="26" spans="1:27" x14ac:dyDescent="0.2">
      <c r="A26" s="704">
        <f t="shared" si="0"/>
        <v>16</v>
      </c>
      <c r="B26" s="709"/>
      <c r="C26" s="708"/>
      <c r="D26" s="708"/>
      <c r="E26" s="708"/>
      <c r="F26" s="708"/>
      <c r="G26" s="708"/>
      <c r="H26" s="708"/>
      <c r="I26" s="708"/>
      <c r="J26" s="708"/>
      <c r="K26" s="708"/>
      <c r="L26" s="708"/>
      <c r="M26" s="708"/>
      <c r="N26" s="708"/>
      <c r="O26" s="709"/>
      <c r="P26" s="709"/>
      <c r="Q26" s="709"/>
      <c r="R26" s="709"/>
      <c r="S26" s="710"/>
      <c r="T26" s="10"/>
      <c r="U26" s="10"/>
      <c r="V26" s="10"/>
      <c r="W26" s="10"/>
      <c r="X26" s="10"/>
      <c r="Y26" s="10"/>
      <c r="Z26" s="10"/>
      <c r="AA26" s="10"/>
    </row>
    <row r="27" spans="1:27" x14ac:dyDescent="0.2">
      <c r="A27" s="704">
        <f t="shared" si="0"/>
        <v>17</v>
      </c>
      <c r="B27" s="722" t="s">
        <v>675</v>
      </c>
      <c r="C27" s="706">
        <f>C25-L25</f>
        <v>-2403058</v>
      </c>
      <c r="D27" s="706">
        <f>D25-M25</f>
        <v>-182683</v>
      </c>
      <c r="E27" s="768">
        <f>E25-N25</f>
        <v>-2585741</v>
      </c>
      <c r="F27" s="768"/>
      <c r="G27" s="768"/>
      <c r="H27" s="768"/>
      <c r="I27" s="768"/>
      <c r="J27" s="768"/>
      <c r="K27" s="708"/>
      <c r="L27" s="708"/>
      <c r="M27" s="708"/>
      <c r="N27" s="708"/>
      <c r="O27" s="709"/>
      <c r="P27" s="709"/>
      <c r="Q27" s="709"/>
      <c r="R27" s="709"/>
      <c r="S27" s="710"/>
      <c r="T27" s="10"/>
      <c r="U27" s="10"/>
      <c r="V27" s="10"/>
      <c r="W27" s="10"/>
      <c r="X27" s="10"/>
      <c r="Y27" s="10"/>
      <c r="Z27" s="10"/>
      <c r="AA27" s="10"/>
    </row>
    <row r="28" spans="1:27" ht="16.5" customHeight="1" x14ac:dyDescent="0.2">
      <c r="A28" s="727">
        <f t="shared" si="0"/>
        <v>18</v>
      </c>
      <c r="B28" s="749"/>
      <c r="C28" s="769"/>
      <c r="D28" s="769"/>
      <c r="E28" s="769"/>
      <c r="F28" s="769"/>
      <c r="G28" s="769"/>
      <c r="H28" s="769"/>
      <c r="I28" s="769"/>
      <c r="J28" s="769"/>
      <c r="K28" s="708"/>
      <c r="L28" s="708"/>
      <c r="M28" s="708"/>
      <c r="N28" s="708"/>
      <c r="O28" s="709"/>
      <c r="P28" s="709"/>
      <c r="Q28" s="709"/>
      <c r="R28" s="709"/>
      <c r="S28" s="710"/>
      <c r="T28" s="10"/>
      <c r="U28" s="10"/>
      <c r="V28" s="10"/>
      <c r="W28" s="10"/>
      <c r="X28" s="10"/>
      <c r="Y28" s="10"/>
      <c r="Z28" s="10"/>
      <c r="AA28" s="10"/>
    </row>
    <row r="29" spans="1:27" s="11" customFormat="1" x14ac:dyDescent="0.2">
      <c r="A29" s="704">
        <f>A28+1</f>
        <v>19</v>
      </c>
      <c r="B29" s="709"/>
      <c r="C29" s="708"/>
      <c r="D29" s="708"/>
      <c r="E29" s="708"/>
      <c r="F29" s="708"/>
      <c r="G29" s="708"/>
      <c r="H29" s="708"/>
      <c r="I29" s="708"/>
      <c r="J29" s="708"/>
      <c r="K29" s="708"/>
      <c r="L29" s="708"/>
      <c r="M29" s="708"/>
      <c r="N29" s="708"/>
      <c r="O29" s="722"/>
      <c r="P29" s="722"/>
      <c r="Q29" s="722"/>
      <c r="R29" s="722"/>
      <c r="S29" s="723"/>
    </row>
    <row r="30" spans="1:27" s="11" customFormat="1" x14ac:dyDescent="0.2">
      <c r="A30" s="704">
        <f t="shared" si="0"/>
        <v>20</v>
      </c>
      <c r="B30" s="707" t="s">
        <v>53</v>
      </c>
      <c r="C30" s="707"/>
      <c r="D30" s="707"/>
      <c r="E30" s="707"/>
      <c r="F30" s="707"/>
      <c r="G30" s="707"/>
      <c r="H30" s="707"/>
      <c r="I30" s="707"/>
      <c r="J30" s="707"/>
      <c r="K30" s="707" t="s">
        <v>33</v>
      </c>
      <c r="L30" s="706"/>
      <c r="M30" s="706"/>
      <c r="N30" s="706"/>
      <c r="O30" s="722"/>
      <c r="P30" s="722"/>
      <c r="Q30" s="722"/>
      <c r="R30" s="722"/>
      <c r="S30" s="723"/>
    </row>
    <row r="31" spans="1:27" s="11" customFormat="1" x14ac:dyDescent="0.2">
      <c r="A31" s="704">
        <f t="shared" si="0"/>
        <v>21</v>
      </c>
      <c r="B31" s="725" t="s">
        <v>725</v>
      </c>
      <c r="C31" s="707"/>
      <c r="D31" s="707"/>
      <c r="E31" s="707"/>
      <c r="F31" s="707"/>
      <c r="G31" s="707"/>
      <c r="H31" s="707"/>
      <c r="I31" s="707"/>
      <c r="J31" s="707"/>
      <c r="K31" s="725" t="s">
        <v>4</v>
      </c>
      <c r="L31" s="706"/>
      <c r="M31" s="722"/>
      <c r="N31" s="722"/>
      <c r="O31" s="722"/>
      <c r="P31" s="722"/>
      <c r="Q31" s="722"/>
      <c r="R31" s="722"/>
      <c r="S31" s="723"/>
    </row>
    <row r="32" spans="1:27" s="11" customFormat="1" x14ac:dyDescent="0.2">
      <c r="A32" s="704">
        <f t="shared" si="0"/>
        <v>22</v>
      </c>
      <c r="B32" s="709" t="s">
        <v>1076</v>
      </c>
      <c r="C32" s="729">
        <f>Össz.önkor.mérleg.!D40</f>
        <v>1243160</v>
      </c>
      <c r="D32" s="729">
        <f>Össz.önkor.mérleg.!E40</f>
        <v>0</v>
      </c>
      <c r="E32" s="729">
        <f>Össz.önkor.mérleg.!F40</f>
        <v>1243160</v>
      </c>
      <c r="F32" s="729"/>
      <c r="G32" s="729"/>
      <c r="H32" s="729"/>
      <c r="I32" s="729"/>
      <c r="J32" s="729"/>
      <c r="K32" s="709" t="s">
        <v>3</v>
      </c>
      <c r="L32" s="706"/>
      <c r="M32" s="706"/>
      <c r="N32" s="706"/>
      <c r="O32" s="722"/>
      <c r="P32" s="722"/>
      <c r="Q32" s="722"/>
      <c r="R32" s="722"/>
      <c r="S32" s="723"/>
    </row>
    <row r="33" spans="1:27" x14ac:dyDescent="0.2">
      <c r="A33" s="704">
        <f t="shared" si="0"/>
        <v>23</v>
      </c>
      <c r="B33" s="729" t="s">
        <v>727</v>
      </c>
      <c r="C33" s="770"/>
      <c r="D33" s="725"/>
      <c r="E33" s="725">
        <f>SUM(C33:D33)</f>
        <v>0</v>
      </c>
      <c r="F33" s="725"/>
      <c r="G33" s="725"/>
      <c r="H33" s="725"/>
      <c r="I33" s="725"/>
      <c r="J33" s="725"/>
      <c r="K33" s="729" t="s">
        <v>5</v>
      </c>
      <c r="L33" s="706"/>
      <c r="M33" s="706"/>
      <c r="N33" s="706"/>
      <c r="O33" s="709"/>
      <c r="P33" s="709"/>
      <c r="Q33" s="709"/>
      <c r="R33" s="709"/>
      <c r="S33" s="710"/>
      <c r="T33" s="10"/>
      <c r="U33" s="10"/>
      <c r="V33" s="10"/>
      <c r="W33" s="10"/>
      <c r="X33" s="10"/>
      <c r="Y33" s="10"/>
      <c r="Z33" s="10"/>
      <c r="AA33" s="10"/>
    </row>
    <row r="34" spans="1:27" x14ac:dyDescent="0.2">
      <c r="A34" s="704">
        <f t="shared" si="0"/>
        <v>24</v>
      </c>
      <c r="B34" s="729" t="s">
        <v>726</v>
      </c>
      <c r="C34" s="729"/>
      <c r="D34" s="729"/>
      <c r="E34" s="729"/>
      <c r="F34" s="729"/>
      <c r="G34" s="729"/>
      <c r="H34" s="729"/>
      <c r="I34" s="729"/>
      <c r="J34" s="729"/>
      <c r="K34" s="729" t="s">
        <v>6</v>
      </c>
      <c r="L34" s="706"/>
      <c r="M34" s="706"/>
      <c r="N34" s="706"/>
      <c r="O34" s="709"/>
      <c r="P34" s="709"/>
      <c r="Q34" s="709"/>
      <c r="R34" s="709"/>
      <c r="S34" s="710"/>
      <c r="T34" s="10"/>
      <c r="U34" s="10"/>
      <c r="V34" s="10"/>
      <c r="W34" s="10"/>
      <c r="X34" s="10"/>
      <c r="Y34" s="10"/>
      <c r="Z34" s="10"/>
      <c r="AA34" s="10"/>
    </row>
    <row r="35" spans="1:27" x14ac:dyDescent="0.2">
      <c r="A35" s="704">
        <f t="shared" si="0"/>
        <v>25</v>
      </c>
      <c r="B35" s="729" t="s">
        <v>1149</v>
      </c>
      <c r="C35" s="712">
        <f>-(C27+C32)</f>
        <v>1159898</v>
      </c>
      <c r="D35" s="712">
        <f t="shared" ref="D35:E35" si="1">-(D27+D32)</f>
        <v>182683</v>
      </c>
      <c r="E35" s="712">
        <f t="shared" si="1"/>
        <v>1342581</v>
      </c>
      <c r="F35" s="712"/>
      <c r="G35" s="712"/>
      <c r="H35" s="712"/>
      <c r="I35" s="712"/>
      <c r="J35" s="712"/>
      <c r="K35" s="729" t="s">
        <v>7</v>
      </c>
      <c r="L35" s="706"/>
      <c r="M35" s="706"/>
      <c r="N35" s="706"/>
      <c r="O35" s="709"/>
      <c r="P35" s="709"/>
      <c r="Q35" s="709"/>
      <c r="R35" s="709"/>
      <c r="S35" s="710"/>
      <c r="T35" s="10"/>
      <c r="U35" s="10"/>
      <c r="V35" s="10"/>
      <c r="W35" s="10"/>
      <c r="X35" s="10"/>
      <c r="Y35" s="10"/>
      <c r="Z35" s="10"/>
      <c r="AA35" s="10"/>
    </row>
    <row r="36" spans="1:27" x14ac:dyDescent="0.2">
      <c r="A36" s="704">
        <f t="shared" si="0"/>
        <v>26</v>
      </c>
      <c r="B36" s="729" t="s">
        <v>728</v>
      </c>
      <c r="C36" s="707"/>
      <c r="D36" s="707"/>
      <c r="E36" s="707"/>
      <c r="F36" s="707"/>
      <c r="G36" s="707"/>
      <c r="H36" s="707"/>
      <c r="I36" s="707"/>
      <c r="J36" s="707"/>
      <c r="K36" s="729" t="s">
        <v>9</v>
      </c>
      <c r="L36" s="706"/>
      <c r="M36" s="706"/>
      <c r="N36" s="708"/>
      <c r="O36" s="709"/>
      <c r="P36" s="709"/>
      <c r="Q36" s="709"/>
      <c r="R36" s="709"/>
      <c r="S36" s="710"/>
      <c r="T36" s="10"/>
      <c r="U36" s="10"/>
      <c r="V36" s="10"/>
      <c r="W36" s="10"/>
      <c r="X36" s="10"/>
      <c r="Y36" s="10"/>
      <c r="Z36" s="10"/>
      <c r="AA36" s="10"/>
    </row>
    <row r="37" spans="1:27" x14ac:dyDescent="0.2">
      <c r="A37" s="704">
        <f t="shared" si="0"/>
        <v>27</v>
      </c>
      <c r="B37" s="729" t="s">
        <v>729</v>
      </c>
      <c r="C37" s="729"/>
      <c r="D37" s="729"/>
      <c r="E37" s="729"/>
      <c r="F37" s="729"/>
      <c r="G37" s="729"/>
      <c r="H37" s="729"/>
      <c r="I37" s="729"/>
      <c r="J37" s="729"/>
      <c r="K37" s="729" t="s">
        <v>10</v>
      </c>
      <c r="L37" s="708"/>
      <c r="M37" s="708"/>
      <c r="N37" s="708"/>
      <c r="O37" s="709"/>
      <c r="P37" s="709"/>
      <c r="Q37" s="709"/>
      <c r="R37" s="709"/>
      <c r="S37" s="710"/>
      <c r="T37" s="10"/>
      <c r="U37" s="10"/>
      <c r="V37" s="10"/>
      <c r="W37" s="10"/>
      <c r="X37" s="10"/>
      <c r="Y37" s="10"/>
      <c r="Z37" s="10"/>
      <c r="AA37" s="10"/>
    </row>
    <row r="38" spans="1:27" x14ac:dyDescent="0.2">
      <c r="A38" s="704">
        <f t="shared" si="0"/>
        <v>28</v>
      </c>
      <c r="B38" s="729" t="s">
        <v>730</v>
      </c>
      <c r="C38" s="729"/>
      <c r="D38" s="729"/>
      <c r="E38" s="729"/>
      <c r="F38" s="729"/>
      <c r="G38" s="729"/>
      <c r="H38" s="729"/>
      <c r="I38" s="729"/>
      <c r="J38" s="729"/>
      <c r="K38" s="729" t="s">
        <v>11</v>
      </c>
      <c r="L38" s="708"/>
      <c r="M38" s="708"/>
      <c r="N38" s="708"/>
      <c r="O38" s="709"/>
      <c r="P38" s="709"/>
      <c r="Q38" s="709"/>
      <c r="R38" s="709"/>
      <c r="S38" s="710"/>
      <c r="T38" s="10"/>
      <c r="U38" s="10"/>
      <c r="V38" s="10"/>
      <c r="W38" s="10"/>
      <c r="X38" s="10"/>
      <c r="Y38" s="10"/>
      <c r="Z38" s="10"/>
      <c r="AA38" s="10"/>
    </row>
    <row r="39" spans="1:27" x14ac:dyDescent="0.2">
      <c r="A39" s="704">
        <f t="shared" si="0"/>
        <v>29</v>
      </c>
      <c r="B39" s="729" t="s">
        <v>731</v>
      </c>
      <c r="C39" s="729"/>
      <c r="D39" s="729"/>
      <c r="E39" s="729"/>
      <c r="F39" s="729"/>
      <c r="G39" s="729"/>
      <c r="H39" s="729"/>
      <c r="I39" s="729"/>
      <c r="J39" s="729"/>
      <c r="K39" s="729" t="s">
        <v>12</v>
      </c>
      <c r="L39" s="708"/>
      <c r="M39" s="708"/>
      <c r="N39" s="708"/>
      <c r="O39" s="709"/>
      <c r="P39" s="709"/>
      <c r="Q39" s="709"/>
      <c r="R39" s="709"/>
      <c r="S39" s="710"/>
      <c r="T39" s="10"/>
      <c r="U39" s="10"/>
      <c r="V39" s="10"/>
      <c r="W39" s="10"/>
      <c r="X39" s="10"/>
      <c r="Y39" s="10"/>
      <c r="Z39" s="10"/>
      <c r="AA39" s="10"/>
    </row>
    <row r="40" spans="1:27" x14ac:dyDescent="0.2">
      <c r="A40" s="704">
        <f t="shared" si="0"/>
        <v>30</v>
      </c>
      <c r="B40" s="729" t="s">
        <v>0</v>
      </c>
      <c r="C40" s="729"/>
      <c r="D40" s="729"/>
      <c r="E40" s="729"/>
      <c r="F40" s="729"/>
      <c r="G40" s="729"/>
      <c r="H40" s="729"/>
      <c r="I40" s="729"/>
      <c r="J40" s="729"/>
      <c r="K40" s="729" t="s">
        <v>13</v>
      </c>
      <c r="L40" s="708"/>
      <c r="M40" s="708"/>
      <c r="N40" s="708"/>
      <c r="O40" s="709"/>
      <c r="P40" s="709"/>
      <c r="Q40" s="709"/>
      <c r="R40" s="709"/>
      <c r="S40" s="710"/>
      <c r="T40" s="10"/>
      <c r="U40" s="10"/>
      <c r="V40" s="10"/>
      <c r="W40" s="10"/>
      <c r="X40" s="10"/>
      <c r="Y40" s="10"/>
      <c r="Z40" s="10"/>
      <c r="AA40" s="10"/>
    </row>
    <row r="41" spans="1:27" x14ac:dyDescent="0.2">
      <c r="A41" s="704">
        <f t="shared" si="0"/>
        <v>31</v>
      </c>
      <c r="B41" s="729" t="s">
        <v>1</v>
      </c>
      <c r="C41" s="729"/>
      <c r="D41" s="729"/>
      <c r="E41" s="729"/>
      <c r="F41" s="729"/>
      <c r="G41" s="729"/>
      <c r="H41" s="729"/>
      <c r="I41" s="729"/>
      <c r="J41" s="729"/>
      <c r="K41" s="729" t="s">
        <v>14</v>
      </c>
      <c r="L41" s="708"/>
      <c r="M41" s="708"/>
      <c r="N41" s="708"/>
      <c r="O41" s="709"/>
      <c r="P41" s="709"/>
      <c r="Q41" s="709"/>
      <c r="R41" s="709"/>
      <c r="S41" s="710"/>
      <c r="T41" s="10"/>
      <c r="U41" s="10"/>
      <c r="V41" s="10"/>
      <c r="W41" s="10"/>
      <c r="X41" s="10"/>
      <c r="Y41" s="10"/>
      <c r="Z41" s="10"/>
      <c r="AA41" s="10"/>
    </row>
    <row r="42" spans="1:27" x14ac:dyDescent="0.2">
      <c r="A42" s="704">
        <f t="shared" si="0"/>
        <v>32</v>
      </c>
      <c r="B42" s="729" t="s">
        <v>2</v>
      </c>
      <c r="C42" s="729"/>
      <c r="D42" s="729"/>
      <c r="E42" s="729"/>
      <c r="F42" s="729"/>
      <c r="G42" s="729"/>
      <c r="H42" s="729"/>
      <c r="I42" s="729"/>
      <c r="J42" s="729"/>
      <c r="K42" s="729" t="s">
        <v>15</v>
      </c>
      <c r="L42" s="708"/>
      <c r="M42" s="708"/>
      <c r="N42" s="708"/>
      <c r="O42" s="709"/>
      <c r="P42" s="709"/>
      <c r="Q42" s="709"/>
      <c r="R42" s="709"/>
      <c r="S42" s="710"/>
      <c r="T42" s="10"/>
      <c r="U42" s="10"/>
      <c r="V42" s="10"/>
      <c r="W42" s="10"/>
      <c r="X42" s="10"/>
      <c r="Y42" s="10"/>
      <c r="Z42" s="10"/>
      <c r="AA42" s="10"/>
    </row>
    <row r="43" spans="1:27" ht="12" thickBot="1" x14ac:dyDescent="0.25">
      <c r="A43" s="731">
        <f t="shared" si="0"/>
        <v>33</v>
      </c>
      <c r="B43" s="732" t="s">
        <v>473</v>
      </c>
      <c r="C43" s="771">
        <f>SUM(C31:C41)</f>
        <v>2403058</v>
      </c>
      <c r="D43" s="771">
        <f>SUM(D31:D41)</f>
        <v>182683</v>
      </c>
      <c r="E43" s="771">
        <f>SUM(E31:E41)</f>
        <v>2585741</v>
      </c>
      <c r="F43" s="771"/>
      <c r="G43" s="771"/>
      <c r="H43" s="771"/>
      <c r="I43" s="771"/>
      <c r="J43" s="771"/>
      <c r="K43" s="771" t="s">
        <v>466</v>
      </c>
      <c r="L43" s="772">
        <f>SUM(L31:L42)</f>
        <v>0</v>
      </c>
      <c r="M43" s="772">
        <f>SUM(M31:M42)</f>
        <v>0</v>
      </c>
      <c r="N43" s="772">
        <f>SUM(N31:N42)</f>
        <v>0</v>
      </c>
      <c r="O43" s="735"/>
      <c r="P43" s="735"/>
      <c r="Q43" s="735"/>
      <c r="R43" s="735"/>
      <c r="S43" s="736"/>
      <c r="T43" s="10"/>
      <c r="U43" s="10"/>
      <c r="V43" s="10"/>
      <c r="W43" s="10"/>
      <c r="X43" s="10"/>
      <c r="Y43" s="10"/>
      <c r="Z43" s="10"/>
      <c r="AA43" s="10"/>
    </row>
    <row r="44" spans="1:27" ht="12" thickBot="1" x14ac:dyDescent="0.25">
      <c r="A44" s="737">
        <f t="shared" si="0"/>
        <v>34</v>
      </c>
      <c r="B44" s="738" t="s">
        <v>468</v>
      </c>
      <c r="C44" s="697">
        <f>C25+C28+C43</f>
        <v>2403058</v>
      </c>
      <c r="D44" s="697">
        <f>D25+D28+D43</f>
        <v>192293</v>
      </c>
      <c r="E44" s="697">
        <f>E25+E28+E43</f>
        <v>2595351</v>
      </c>
      <c r="F44" s="697"/>
      <c r="G44" s="697"/>
      <c r="H44" s="697"/>
      <c r="I44" s="697"/>
      <c r="J44" s="697"/>
      <c r="K44" s="738" t="s">
        <v>467</v>
      </c>
      <c r="L44" s="697">
        <f>L25+L43</f>
        <v>2403058</v>
      </c>
      <c r="M44" s="697">
        <f>M25+M43</f>
        <v>192293</v>
      </c>
      <c r="N44" s="773">
        <f>N25+N43</f>
        <v>2595351</v>
      </c>
      <c r="O44" s="741"/>
      <c r="P44" s="741"/>
      <c r="Q44" s="741"/>
      <c r="R44" s="741"/>
      <c r="S44" s="742"/>
      <c r="T44" s="10"/>
      <c r="U44" s="10"/>
      <c r="V44" s="10"/>
      <c r="W44" s="10"/>
      <c r="X44" s="10"/>
      <c r="Y44" s="10"/>
      <c r="Z44" s="10"/>
      <c r="AA44" s="10"/>
    </row>
    <row r="45" spans="1:27" x14ac:dyDescent="0.2">
      <c r="B45" s="128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S45" s="10"/>
      <c r="T45" s="10"/>
      <c r="U45" s="10"/>
      <c r="V45" s="10"/>
      <c r="W45" s="10"/>
      <c r="X45" s="10"/>
      <c r="Y45" s="10"/>
      <c r="Z45" s="10"/>
      <c r="AA45" s="10"/>
    </row>
    <row r="46" spans="1:27" x14ac:dyDescent="0.2">
      <c r="Y46" s="10"/>
      <c r="Z46" s="10"/>
      <c r="AA46" s="10"/>
    </row>
    <row r="49" spans="4:4" x14ac:dyDescent="0.2">
      <c r="D49" s="122"/>
    </row>
  </sheetData>
  <sheetProtection selectLockedCells="1" selectUnlockedCells="1"/>
  <mergeCells count="14">
    <mergeCell ref="O7:P7"/>
    <mergeCell ref="Q7:S7"/>
    <mergeCell ref="L6:S6"/>
    <mergeCell ref="A1:N1"/>
    <mergeCell ref="C7:E7"/>
    <mergeCell ref="L7:N7"/>
    <mergeCell ref="B3:N3"/>
    <mergeCell ref="A5:N5"/>
    <mergeCell ref="B4:N4"/>
    <mergeCell ref="A6:A8"/>
    <mergeCell ref="B6:B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267" customWidth="1"/>
    <col min="2" max="2" width="71.7109375" style="267" customWidth="1"/>
    <col min="3" max="3" width="13.5703125" style="267" customWidth="1"/>
    <col min="4" max="4" width="9.140625" style="255"/>
    <col min="5" max="16384" width="9.140625" style="256"/>
  </cols>
  <sheetData>
    <row r="2" spans="1:4" ht="20.100000000000001" customHeight="1" x14ac:dyDescent="0.25">
      <c r="A2" s="256"/>
      <c r="B2" s="1688" t="s">
        <v>1215</v>
      </c>
      <c r="C2" s="1688"/>
    </row>
    <row r="3" spans="1:4" ht="20.100000000000001" customHeight="1" x14ac:dyDescent="0.25">
      <c r="A3" s="256"/>
      <c r="B3" s="335"/>
      <c r="C3" s="335"/>
    </row>
    <row r="4" spans="1:4" ht="20.100000000000001" customHeight="1" x14ac:dyDescent="0.25">
      <c r="A4" s="256"/>
      <c r="B4" s="1690" t="s">
        <v>78</v>
      </c>
      <c r="C4" s="1690"/>
    </row>
    <row r="5" spans="1:4" ht="20.100000000000001" customHeight="1" x14ac:dyDescent="0.25">
      <c r="A5" s="256"/>
      <c r="B5" s="1690" t="s">
        <v>1121</v>
      </c>
      <c r="C5" s="1690"/>
    </row>
    <row r="6" spans="1:4" ht="20.100000000000001" customHeight="1" x14ac:dyDescent="0.25">
      <c r="A6" s="256"/>
      <c r="B6" s="1690" t="s">
        <v>438</v>
      </c>
      <c r="C6" s="1690"/>
    </row>
    <row r="7" spans="1:4" s="258" customFormat="1" ht="20.100000000000001" customHeight="1" x14ac:dyDescent="0.25">
      <c r="B7" s="1690"/>
      <c r="C7" s="1690"/>
      <c r="D7" s="257"/>
    </row>
    <row r="8" spans="1:4" s="258" customFormat="1" ht="20.100000000000001" customHeight="1" x14ac:dyDescent="0.25">
      <c r="B8" s="336"/>
      <c r="C8" s="336"/>
      <c r="D8" s="257"/>
    </row>
    <row r="9" spans="1:4" s="260" customFormat="1" ht="20.100000000000001" customHeight="1" x14ac:dyDescent="0.25">
      <c r="B9" s="337"/>
      <c r="C9" s="338" t="s">
        <v>335</v>
      </c>
      <c r="D9" s="259"/>
    </row>
    <row r="10" spans="1:4" ht="20.100000000000001" customHeight="1" x14ac:dyDescent="0.25">
      <c r="A10" s="1689"/>
      <c r="B10" s="339" t="s">
        <v>57</v>
      </c>
      <c r="C10" s="339" t="s">
        <v>58</v>
      </c>
    </row>
    <row r="11" spans="1:4" s="260" customFormat="1" ht="30.75" customHeight="1" x14ac:dyDescent="0.25">
      <c r="A11" s="1689"/>
      <c r="B11" s="340" t="s">
        <v>86</v>
      </c>
      <c r="C11" s="340" t="s">
        <v>439</v>
      </c>
      <c r="D11" s="259"/>
    </row>
    <row r="12" spans="1:4" ht="22.5" customHeight="1" x14ac:dyDescent="0.25">
      <c r="A12" s="341"/>
      <c r="B12" s="256"/>
      <c r="C12" s="256"/>
    </row>
    <row r="13" spans="1:4" ht="51" customHeight="1" x14ac:dyDescent="0.25">
      <c r="A13" s="342" t="s">
        <v>507</v>
      </c>
      <c r="B13" s="343" t="s">
        <v>1185</v>
      </c>
      <c r="C13" s="537">
        <v>169769</v>
      </c>
    </row>
    <row r="14" spans="1:4" ht="20.100000000000001" customHeight="1" x14ac:dyDescent="0.25">
      <c r="A14" s="341"/>
      <c r="B14" s="256"/>
      <c r="C14" s="538"/>
    </row>
    <row r="15" spans="1:4" ht="35.25" customHeight="1" x14ac:dyDescent="0.25">
      <c r="A15" s="342" t="s">
        <v>515</v>
      </c>
      <c r="B15" s="344" t="s">
        <v>1208</v>
      </c>
      <c r="C15" s="537">
        <v>1467</v>
      </c>
    </row>
    <row r="16" spans="1:4" ht="20.100000000000001" customHeight="1" x14ac:dyDescent="0.25">
      <c r="A16" s="341"/>
      <c r="B16" s="256"/>
      <c r="C16" s="538"/>
    </row>
    <row r="17" spans="1:4" ht="36" customHeight="1" x14ac:dyDescent="0.25">
      <c r="A17" s="342" t="s">
        <v>516</v>
      </c>
      <c r="B17" s="345" t="s">
        <v>440</v>
      </c>
      <c r="C17" s="539">
        <v>547</v>
      </c>
    </row>
    <row r="18" spans="1:4" ht="20.100000000000001" customHeight="1" x14ac:dyDescent="0.25">
      <c r="A18" s="341"/>
      <c r="B18" s="346"/>
      <c r="C18" s="538"/>
    </row>
    <row r="19" spans="1:4" s="258" customFormat="1" ht="20.100000000000001" customHeight="1" x14ac:dyDescent="0.25">
      <c r="A19" s="341" t="s">
        <v>517</v>
      </c>
      <c r="B19" s="258" t="s">
        <v>441</v>
      </c>
      <c r="C19" s="540">
        <f>SUM(C13:C18)</f>
        <v>171783</v>
      </c>
      <c r="D19" s="257"/>
    </row>
    <row r="20" spans="1:4" ht="20.100000000000001" customHeight="1" x14ac:dyDescent="0.25">
      <c r="A20" s="256"/>
      <c r="B20" s="256"/>
      <c r="C20" s="538"/>
    </row>
    <row r="21" spans="1:4" ht="20.100000000000001" customHeight="1" x14ac:dyDescent="0.25">
      <c r="C21" s="268"/>
    </row>
    <row r="22" spans="1:4" ht="20.100000000000001" customHeight="1" x14ac:dyDescent="0.25">
      <c r="C22" s="268"/>
    </row>
    <row r="23" spans="1:4" ht="20.100000000000001" customHeight="1" x14ac:dyDescent="0.25">
      <c r="C23" s="268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261" customWidth="1"/>
    <col min="2" max="2" width="29.28515625" style="261" customWidth="1"/>
    <col min="3" max="3" width="16.85546875" style="261" bestFit="1" customWidth="1"/>
    <col min="4" max="4" width="15.5703125" style="261" customWidth="1"/>
    <col min="5" max="5" width="9.85546875" style="261" bestFit="1" customWidth="1"/>
    <col min="6" max="6" width="12.85546875" style="261" customWidth="1"/>
    <col min="7" max="8" width="14.5703125" style="261" customWidth="1"/>
    <col min="9" max="9" width="10.7109375" style="261" customWidth="1"/>
    <col min="10" max="10" width="10.5703125" style="261" customWidth="1"/>
    <col min="11" max="11" width="10.28515625" style="261" customWidth="1"/>
    <col min="12" max="12" width="10.28515625" style="261"/>
    <col min="13" max="16384" width="10.28515625" style="266"/>
  </cols>
  <sheetData>
    <row r="1" spans="1:12" s="261" customFormat="1" x14ac:dyDescent="0.2">
      <c r="A1" s="1691" t="s">
        <v>1216</v>
      </c>
      <c r="B1" s="1691"/>
      <c r="C1" s="1691"/>
      <c r="D1" s="1691"/>
      <c r="E1" s="1691"/>
      <c r="F1" s="1691"/>
      <c r="G1" s="1691"/>
      <c r="H1" s="1691"/>
      <c r="I1" s="1691"/>
      <c r="J1" s="1691"/>
    </row>
    <row r="2" spans="1:12" s="261" customFormat="1" ht="14.1" customHeight="1" x14ac:dyDescent="0.2"/>
    <row r="3" spans="1:12" s="261" customFormat="1" ht="15" customHeight="1" x14ac:dyDescent="0.25">
      <c r="B3" s="1693" t="s">
        <v>78</v>
      </c>
      <c r="C3" s="1693"/>
      <c r="D3" s="1693"/>
      <c r="E3" s="1693"/>
      <c r="F3" s="1693"/>
      <c r="G3" s="1693"/>
      <c r="H3" s="1693"/>
      <c r="I3" s="1693"/>
      <c r="J3" s="1693"/>
    </row>
    <row r="4" spans="1:12" s="261" customFormat="1" ht="15" customHeight="1" x14ac:dyDescent="0.25">
      <c r="B4" s="1693" t="s">
        <v>1121</v>
      </c>
      <c r="C4" s="1693"/>
      <c r="D4" s="1693"/>
      <c r="E4" s="1693"/>
      <c r="F4" s="1693"/>
      <c r="G4" s="1693"/>
      <c r="H4" s="1693"/>
      <c r="I4" s="1693"/>
      <c r="J4" s="1693"/>
    </row>
    <row r="5" spans="1:12" s="261" customFormat="1" ht="15" customHeight="1" x14ac:dyDescent="0.25">
      <c r="B5" s="1693" t="s">
        <v>442</v>
      </c>
      <c r="C5" s="1693"/>
      <c r="D5" s="1693"/>
      <c r="E5" s="1693"/>
      <c r="F5" s="1693"/>
      <c r="G5" s="1693"/>
      <c r="H5" s="1693"/>
      <c r="I5" s="1693"/>
      <c r="J5" s="1693"/>
    </row>
    <row r="6" spans="1:12" s="261" customFormat="1" ht="15" customHeight="1" x14ac:dyDescent="0.25">
      <c r="B6" s="1693"/>
      <c r="C6" s="1693"/>
      <c r="D6" s="1693"/>
      <c r="E6" s="1693"/>
      <c r="F6" s="1693"/>
      <c r="G6" s="1693"/>
      <c r="H6" s="1693"/>
      <c r="I6" s="1693"/>
      <c r="J6" s="1693"/>
    </row>
    <row r="7" spans="1:12" s="261" customFormat="1" ht="15" customHeight="1" x14ac:dyDescent="0.25">
      <c r="B7" s="1701" t="s">
        <v>335</v>
      </c>
      <c r="C7" s="1701"/>
      <c r="D7" s="1701"/>
      <c r="E7" s="1701"/>
      <c r="F7" s="1701"/>
      <c r="G7" s="1701"/>
      <c r="H7" s="1701"/>
      <c r="I7" s="1701"/>
      <c r="J7" s="1701"/>
    </row>
    <row r="8" spans="1:12" s="262" customFormat="1" ht="14.1" customHeight="1" x14ac:dyDescent="0.25">
      <c r="A8" s="1692"/>
      <c r="B8" s="645" t="s">
        <v>57</v>
      </c>
      <c r="C8" s="645" t="s">
        <v>58</v>
      </c>
      <c r="D8" s="645" t="s">
        <v>59</v>
      </c>
      <c r="E8" s="645" t="s">
        <v>60</v>
      </c>
      <c r="F8" s="645" t="s">
        <v>498</v>
      </c>
      <c r="G8" s="645" t="s">
        <v>499</v>
      </c>
      <c r="H8" s="645" t="s">
        <v>500</v>
      </c>
      <c r="I8" s="645" t="s">
        <v>628</v>
      </c>
      <c r="J8" s="645" t="s">
        <v>639</v>
      </c>
    </row>
    <row r="9" spans="1:12" s="263" customFormat="1" ht="17.25" customHeight="1" x14ac:dyDescent="0.25">
      <c r="A9" s="1692"/>
      <c r="B9" s="1695" t="s">
        <v>86</v>
      </c>
      <c r="C9" s="1697" t="s">
        <v>443</v>
      </c>
      <c r="D9" s="1697" t="s">
        <v>1186</v>
      </c>
      <c r="E9" s="1695" t="s">
        <v>444</v>
      </c>
      <c r="F9" s="1699" t="s">
        <v>445</v>
      </c>
      <c r="G9" s="1695" t="s">
        <v>446</v>
      </c>
      <c r="H9" s="1697" t="s">
        <v>967</v>
      </c>
      <c r="I9" s="1694" t="s">
        <v>447</v>
      </c>
      <c r="J9" s="1694"/>
    </row>
    <row r="10" spans="1:12" s="263" customFormat="1" ht="30" customHeight="1" x14ac:dyDescent="0.25">
      <c r="A10" s="1692"/>
      <c r="B10" s="1696"/>
      <c r="C10" s="1698"/>
      <c r="D10" s="1698"/>
      <c r="E10" s="1696"/>
      <c r="F10" s="1700"/>
      <c r="G10" s="1696"/>
      <c r="H10" s="1698"/>
      <c r="I10" s="645" t="s">
        <v>448</v>
      </c>
      <c r="J10" s="645" t="s">
        <v>449</v>
      </c>
    </row>
    <row r="11" spans="1:12" s="262" customFormat="1" ht="16.5" customHeight="1" x14ac:dyDescent="0.25">
      <c r="A11" s="264" t="s">
        <v>507</v>
      </c>
      <c r="B11" s="269" t="s">
        <v>450</v>
      </c>
    </row>
    <row r="12" spans="1:12" s="262" customFormat="1" ht="15" customHeight="1" x14ac:dyDescent="0.25">
      <c r="A12" s="264" t="s">
        <v>515</v>
      </c>
      <c r="B12" s="262" t="s">
        <v>451</v>
      </c>
      <c r="C12" s="270"/>
      <c r="D12" s="270"/>
      <c r="E12" s="271"/>
      <c r="F12" s="271"/>
      <c r="G12" s="271"/>
      <c r="H12" s="270"/>
      <c r="I12" s="271"/>
      <c r="J12" s="271"/>
    </row>
    <row r="13" spans="1:12" s="262" customFormat="1" ht="15" customHeight="1" x14ac:dyDescent="0.25">
      <c r="A13" s="264" t="s">
        <v>516</v>
      </c>
      <c r="B13" s="272" t="s">
        <v>452</v>
      </c>
      <c r="C13" s="273">
        <v>500</v>
      </c>
      <c r="D13" s="274">
        <v>75</v>
      </c>
      <c r="E13" s="275" t="s">
        <v>453</v>
      </c>
      <c r="F13" s="275" t="s">
        <v>454</v>
      </c>
      <c r="G13" s="275" t="s">
        <v>454</v>
      </c>
      <c r="H13" s="274">
        <v>50</v>
      </c>
      <c r="I13" s="276">
        <v>0</v>
      </c>
      <c r="J13" s="275" t="s">
        <v>455</v>
      </c>
    </row>
    <row r="14" spans="1:12" s="263" customFormat="1" ht="15" customHeight="1" x14ac:dyDescent="0.25">
      <c r="A14" s="264" t="s">
        <v>517</v>
      </c>
      <c r="B14" s="272" t="s">
        <v>456</v>
      </c>
      <c r="C14" s="273">
        <v>25130</v>
      </c>
      <c r="D14" s="273">
        <v>15303</v>
      </c>
      <c r="E14" s="275" t="s">
        <v>453</v>
      </c>
      <c r="F14" s="275" t="s">
        <v>454</v>
      </c>
      <c r="G14" s="275" t="s">
        <v>454</v>
      </c>
      <c r="H14" s="273">
        <v>2508</v>
      </c>
      <c r="I14" s="276">
        <v>0</v>
      </c>
      <c r="J14" s="275" t="s">
        <v>455</v>
      </c>
    </row>
    <row r="15" spans="1:12" s="265" customFormat="1" ht="16.5" customHeight="1" x14ac:dyDescent="0.25">
      <c r="A15" s="264" t="s">
        <v>518</v>
      </c>
      <c r="B15" s="263" t="s">
        <v>457</v>
      </c>
      <c r="C15" s="277">
        <f>SUM(C13:C14)</f>
        <v>25630</v>
      </c>
      <c r="D15" s="277">
        <f>SUM(D13:D14)</f>
        <v>15378</v>
      </c>
      <c r="E15" s="278"/>
      <c r="F15" s="278"/>
      <c r="G15" s="278"/>
      <c r="H15" s="277">
        <f>SUM(H13:H14)</f>
        <v>2558</v>
      </c>
      <c r="I15" s="276"/>
      <c r="J15" s="275" t="s">
        <v>455</v>
      </c>
      <c r="K15" s="262"/>
      <c r="L15" s="262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32" customWidth="1"/>
    <col min="2" max="2" width="9.85546875" style="132" hidden="1" customWidth="1"/>
    <col min="3" max="3" width="11.7109375" style="132" hidden="1" customWidth="1"/>
    <col min="4" max="4" width="9.85546875" style="132" hidden="1" customWidth="1"/>
    <col min="5" max="5" width="15.85546875" style="13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433" t="s">
        <v>1209</v>
      </c>
      <c r="B1" s="1433"/>
      <c r="C1" s="1433"/>
      <c r="D1" s="1433"/>
      <c r="E1" s="1433"/>
      <c r="F1" s="1433"/>
      <c r="G1" s="1433"/>
      <c r="H1" s="1433"/>
      <c r="I1" s="1433"/>
    </row>
    <row r="2" spans="1:256" x14ac:dyDescent="0.2">
      <c r="F2" s="1443"/>
      <c r="G2" s="1443"/>
      <c r="H2" s="1443"/>
      <c r="I2" s="1443"/>
    </row>
    <row r="4" spans="1:256" ht="30" customHeight="1" x14ac:dyDescent="0.2">
      <c r="A4" s="1444" t="s">
        <v>78</v>
      </c>
      <c r="B4" s="1444"/>
      <c r="C4" s="1444"/>
      <c r="D4" s="1444"/>
      <c r="E4" s="1444"/>
      <c r="F4" s="1445"/>
      <c r="G4" s="1445"/>
      <c r="H4" s="1445"/>
      <c r="I4" s="1445"/>
    </row>
    <row r="5" spans="1:256" ht="33" customHeight="1" x14ac:dyDescent="0.2">
      <c r="A5" s="1444" t="s">
        <v>1129</v>
      </c>
      <c r="B5" s="1444"/>
      <c r="C5" s="1444"/>
      <c r="D5" s="1444"/>
      <c r="E5" s="1444"/>
      <c r="F5" s="1445"/>
      <c r="G5" s="1445"/>
      <c r="H5" s="1445"/>
      <c r="I5" s="1445"/>
    </row>
    <row r="7" spans="1:256" ht="13.5" thickBot="1" x14ac:dyDescent="0.25">
      <c r="E7" s="385" t="s">
        <v>20</v>
      </c>
      <c r="F7" s="632"/>
    </row>
    <row r="8" spans="1:256" ht="30.75" customHeight="1" thickBot="1" x14ac:dyDescent="0.25">
      <c r="A8" s="1436" t="s">
        <v>79</v>
      </c>
      <c r="B8" s="1438" t="s">
        <v>116</v>
      </c>
      <c r="C8" s="1439"/>
      <c r="D8" s="1439"/>
      <c r="E8" s="1439"/>
      <c r="F8" s="1440" t="s">
        <v>1083</v>
      </c>
      <c r="G8" s="1441"/>
      <c r="H8" s="1441"/>
      <c r="I8" s="1442"/>
    </row>
    <row r="9" spans="1:256" ht="36.75" thickBot="1" x14ac:dyDescent="0.25">
      <c r="A9" s="1437"/>
      <c r="B9" s="200" t="s">
        <v>80</v>
      </c>
      <c r="C9" s="133" t="s">
        <v>81</v>
      </c>
      <c r="D9" s="133" t="s">
        <v>721</v>
      </c>
      <c r="E9" s="201" t="s">
        <v>82</v>
      </c>
      <c r="F9" s="200" t="s">
        <v>80</v>
      </c>
      <c r="G9" s="133" t="s">
        <v>81</v>
      </c>
      <c r="H9" s="133" t="s">
        <v>721</v>
      </c>
      <c r="I9" s="201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397" t="s">
        <v>83</v>
      </c>
      <c r="B10" s="398"/>
      <c r="C10" s="398"/>
      <c r="D10" s="398"/>
      <c r="E10" s="398"/>
      <c r="F10" s="399"/>
      <c r="G10" s="399"/>
      <c r="H10" s="399"/>
      <c r="I10" s="399"/>
      <c r="J10" s="421"/>
    </row>
    <row r="11" spans="1:256" ht="12.75" x14ac:dyDescent="0.2">
      <c r="A11" s="392" t="s">
        <v>861</v>
      </c>
      <c r="B11" s="484"/>
      <c r="C11" s="484"/>
      <c r="D11" s="484"/>
      <c r="E11" s="484"/>
      <c r="F11" s="541"/>
      <c r="G11" s="541"/>
      <c r="H11" s="541"/>
      <c r="I11" s="541"/>
      <c r="J11" s="421"/>
    </row>
    <row r="12" spans="1:256" ht="36" x14ac:dyDescent="0.2">
      <c r="A12" s="481" t="s">
        <v>862</v>
      </c>
      <c r="B12" s="484">
        <v>4865</v>
      </c>
      <c r="C12" s="542">
        <v>18.690000000000001</v>
      </c>
      <c r="D12" s="484">
        <v>4580000</v>
      </c>
      <c r="E12" s="484">
        <f>C12*D12</f>
        <v>85600200</v>
      </c>
      <c r="F12" s="585" t="s">
        <v>1084</v>
      </c>
      <c r="G12" s="387">
        <v>18.32</v>
      </c>
      <c r="H12" s="387">
        <v>4580000</v>
      </c>
      <c r="I12" s="388">
        <f>G12*H12</f>
        <v>83905600</v>
      </c>
      <c r="J12" s="421"/>
    </row>
    <row r="13" spans="1:256" ht="12.75" x14ac:dyDescent="0.2">
      <c r="A13" s="392" t="s">
        <v>863</v>
      </c>
      <c r="B13" s="484"/>
      <c r="C13" s="484"/>
      <c r="D13" s="484"/>
      <c r="E13" s="484"/>
      <c r="F13" s="441"/>
      <c r="G13" s="489"/>
      <c r="H13" s="489"/>
      <c r="I13" s="441"/>
      <c r="J13" s="421"/>
    </row>
    <row r="14" spans="1:256" ht="12.75" x14ac:dyDescent="0.2">
      <c r="A14" s="481" t="s">
        <v>864</v>
      </c>
      <c r="B14" s="484"/>
      <c r="C14" s="493"/>
      <c r="D14" s="484" t="s">
        <v>312</v>
      </c>
      <c r="E14" s="484">
        <v>8328800</v>
      </c>
      <c r="F14" s="441"/>
      <c r="G14" s="489"/>
      <c r="H14" s="387" t="s">
        <v>312</v>
      </c>
      <c r="I14" s="388">
        <v>8329050</v>
      </c>
      <c r="J14" s="421"/>
    </row>
    <row r="15" spans="1:256" ht="12.75" x14ac:dyDescent="0.2">
      <c r="A15" s="481" t="s">
        <v>865</v>
      </c>
      <c r="B15" s="389"/>
      <c r="C15" s="390"/>
      <c r="D15" s="389"/>
      <c r="E15" s="389"/>
      <c r="F15" s="388"/>
      <c r="G15" s="387"/>
      <c r="H15" s="387"/>
      <c r="I15" s="388">
        <v>-8329050</v>
      </c>
      <c r="J15" s="421"/>
    </row>
    <row r="16" spans="1:256" ht="24" x14ac:dyDescent="0.2">
      <c r="A16" s="481" t="s">
        <v>866</v>
      </c>
      <c r="B16" s="389"/>
      <c r="C16" s="390"/>
      <c r="D16" s="389"/>
      <c r="E16" s="389"/>
      <c r="F16" s="388"/>
      <c r="G16" s="387"/>
      <c r="H16" s="387"/>
      <c r="I16" s="388">
        <f>I14+I15</f>
        <v>0</v>
      </c>
      <c r="J16" s="421"/>
    </row>
    <row r="17" spans="1:10" ht="12.75" x14ac:dyDescent="0.2">
      <c r="A17" s="392" t="s">
        <v>867</v>
      </c>
      <c r="B17" s="484"/>
      <c r="C17" s="484"/>
      <c r="D17" s="545" t="s">
        <v>313</v>
      </c>
      <c r="E17" s="484">
        <v>18272000</v>
      </c>
      <c r="F17" s="441"/>
      <c r="G17" s="489"/>
      <c r="H17" s="387" t="s">
        <v>314</v>
      </c>
      <c r="I17" s="388">
        <v>18304000</v>
      </c>
      <c r="J17" s="421"/>
    </row>
    <row r="18" spans="1:10" ht="12.75" x14ac:dyDescent="0.2">
      <c r="A18" s="392" t="s">
        <v>865</v>
      </c>
      <c r="B18" s="389"/>
      <c r="C18" s="389"/>
      <c r="D18" s="483"/>
      <c r="E18" s="389"/>
      <c r="F18" s="388"/>
      <c r="G18" s="387"/>
      <c r="H18" s="387"/>
      <c r="I18" s="388">
        <v>-18304000</v>
      </c>
      <c r="J18" s="421"/>
    </row>
    <row r="19" spans="1:10" ht="12.75" x14ac:dyDescent="0.2">
      <c r="A19" s="392" t="s">
        <v>868</v>
      </c>
      <c r="B19" s="389"/>
      <c r="C19" s="389"/>
      <c r="D19" s="483"/>
      <c r="E19" s="389"/>
      <c r="F19" s="388"/>
      <c r="G19" s="387"/>
      <c r="H19" s="387"/>
      <c r="I19" s="388">
        <f>I17+I18</f>
        <v>0</v>
      </c>
      <c r="J19" s="421"/>
    </row>
    <row r="20" spans="1:10" ht="12.75" x14ac:dyDescent="0.2">
      <c r="A20" s="392" t="s">
        <v>869</v>
      </c>
      <c r="B20" s="484"/>
      <c r="C20" s="484" t="s">
        <v>870</v>
      </c>
      <c r="D20" s="485" t="s">
        <v>722</v>
      </c>
      <c r="E20" s="484">
        <v>1355022</v>
      </c>
      <c r="F20" s="441"/>
      <c r="G20" s="484"/>
      <c r="H20" s="486" t="s">
        <v>722</v>
      </c>
      <c r="I20" s="388">
        <v>1355022</v>
      </c>
      <c r="J20" s="421"/>
    </row>
    <row r="21" spans="1:10" ht="12.75" x14ac:dyDescent="0.2">
      <c r="A21" s="392" t="s">
        <v>871</v>
      </c>
      <c r="B21" s="389"/>
      <c r="C21" s="389"/>
      <c r="D21" s="486"/>
      <c r="E21" s="389"/>
      <c r="F21" s="388"/>
      <c r="G21" s="389"/>
      <c r="H21" s="486"/>
      <c r="I21" s="388">
        <v>-1355022</v>
      </c>
      <c r="J21" s="421"/>
    </row>
    <row r="22" spans="1:10" ht="12.75" x14ac:dyDescent="0.2">
      <c r="A22" s="392" t="s">
        <v>872</v>
      </c>
      <c r="B22" s="389"/>
      <c r="C22" s="389"/>
      <c r="D22" s="486"/>
      <c r="E22" s="389"/>
      <c r="F22" s="388"/>
      <c r="G22" s="389"/>
      <c r="H22" s="486"/>
      <c r="I22" s="388">
        <f>I20+I21</f>
        <v>0</v>
      </c>
      <c r="J22" s="421"/>
    </row>
    <row r="23" spans="1:10" ht="12.75" x14ac:dyDescent="0.2">
      <c r="A23" s="392" t="s">
        <v>873</v>
      </c>
      <c r="B23" s="484"/>
      <c r="C23" s="493"/>
      <c r="D23" s="545" t="s">
        <v>723</v>
      </c>
      <c r="E23" s="484">
        <v>6369620</v>
      </c>
      <c r="F23" s="441"/>
      <c r="G23" s="489"/>
      <c r="H23" s="483" t="s">
        <v>723</v>
      </c>
      <c r="I23" s="388">
        <v>6369620</v>
      </c>
      <c r="J23" s="421"/>
    </row>
    <row r="24" spans="1:10" ht="12.75" x14ac:dyDescent="0.2">
      <c r="A24" s="392" t="s">
        <v>871</v>
      </c>
      <c r="B24" s="389"/>
      <c r="C24" s="390"/>
      <c r="D24" s="483"/>
      <c r="E24" s="389"/>
      <c r="F24" s="388"/>
      <c r="G24" s="387"/>
      <c r="H24" s="483"/>
      <c r="I24" s="388">
        <v>-6369620</v>
      </c>
      <c r="J24" s="421"/>
    </row>
    <row r="25" spans="1:10" ht="12.75" x14ac:dyDescent="0.2">
      <c r="A25" s="392" t="s">
        <v>874</v>
      </c>
      <c r="B25" s="389"/>
      <c r="C25" s="390"/>
      <c r="D25" s="483"/>
      <c r="E25" s="389"/>
      <c r="F25" s="388"/>
      <c r="G25" s="387"/>
      <c r="H25" s="483"/>
      <c r="I25" s="388">
        <f>I23+I24</f>
        <v>0</v>
      </c>
      <c r="J25" s="421"/>
    </row>
    <row r="26" spans="1:10" ht="12.75" x14ac:dyDescent="0.2">
      <c r="A26" s="392" t="s">
        <v>875</v>
      </c>
      <c r="B26" s="484">
        <v>4865</v>
      </c>
      <c r="C26" s="484"/>
      <c r="D26" s="484">
        <v>2700</v>
      </c>
      <c r="E26" s="484">
        <f>B26*D26</f>
        <v>13135500</v>
      </c>
      <c r="F26" s="388">
        <v>4705</v>
      </c>
      <c r="G26" s="489"/>
      <c r="H26" s="389">
        <v>2700</v>
      </c>
      <c r="I26" s="388">
        <f>F26*H26</f>
        <v>12703500</v>
      </c>
      <c r="J26" s="421"/>
    </row>
    <row r="27" spans="1:10" ht="12.75" x14ac:dyDescent="0.2">
      <c r="A27" s="392" t="s">
        <v>876</v>
      </c>
      <c r="B27" s="389"/>
      <c r="C27" s="389"/>
      <c r="D27" s="389"/>
      <c r="E27" s="389">
        <v>-13135500</v>
      </c>
      <c r="F27" s="388"/>
      <c r="G27" s="387"/>
      <c r="H27" s="387"/>
      <c r="I27" s="388">
        <v>-12703500</v>
      </c>
      <c r="J27" s="421"/>
    </row>
    <row r="28" spans="1:10" ht="12.75" x14ac:dyDescent="0.2">
      <c r="A28" s="392" t="s">
        <v>877</v>
      </c>
      <c r="B28" s="389"/>
      <c r="C28" s="389"/>
      <c r="D28" s="389"/>
      <c r="E28" s="389">
        <f>E26+E27</f>
        <v>0</v>
      </c>
      <c r="F28" s="388"/>
      <c r="G28" s="387"/>
      <c r="H28" s="387"/>
      <c r="I28" s="388">
        <f>I26+I27</f>
        <v>0</v>
      </c>
      <c r="J28" s="421"/>
    </row>
    <row r="29" spans="1:10" ht="12.75" x14ac:dyDescent="0.2">
      <c r="A29" s="392" t="s">
        <v>878</v>
      </c>
      <c r="B29" s="484">
        <v>10</v>
      </c>
      <c r="C29" s="484"/>
      <c r="D29" s="484" t="s">
        <v>315</v>
      </c>
      <c r="E29" s="487">
        <v>25500</v>
      </c>
      <c r="F29" s="388">
        <v>21</v>
      </c>
      <c r="G29" s="489"/>
      <c r="H29" s="389" t="s">
        <v>315</v>
      </c>
      <c r="I29" s="388">
        <v>53550</v>
      </c>
      <c r="J29" s="421"/>
    </row>
    <row r="30" spans="1:10" ht="12.75" x14ac:dyDescent="0.2">
      <c r="A30" s="392" t="s">
        <v>879</v>
      </c>
      <c r="B30" s="389"/>
      <c r="C30" s="389"/>
      <c r="D30" s="389"/>
      <c r="E30" s="389">
        <v>-25500</v>
      </c>
      <c r="F30" s="388"/>
      <c r="G30" s="387"/>
      <c r="H30" s="387"/>
      <c r="I30" s="388">
        <v>-53550</v>
      </c>
      <c r="J30" s="421"/>
    </row>
    <row r="31" spans="1:10" ht="12.75" x14ac:dyDescent="0.2">
      <c r="A31" s="392" t="s">
        <v>880</v>
      </c>
      <c r="B31" s="484"/>
      <c r="C31" s="484"/>
      <c r="D31" s="484"/>
      <c r="E31" s="487">
        <v>0</v>
      </c>
      <c r="F31" s="441"/>
      <c r="G31" s="489"/>
      <c r="H31" s="489"/>
      <c r="I31" s="388">
        <f>I29+I30</f>
        <v>0</v>
      </c>
      <c r="J31" s="421"/>
    </row>
    <row r="32" spans="1:10" ht="12.75" x14ac:dyDescent="0.2">
      <c r="A32" s="544" t="s">
        <v>989</v>
      </c>
      <c r="B32" s="484"/>
      <c r="C32" s="484">
        <v>487729000</v>
      </c>
      <c r="D32" s="493">
        <v>1.55</v>
      </c>
      <c r="E32" s="484">
        <f>C32*D32</f>
        <v>755979950</v>
      </c>
      <c r="F32" s="441"/>
      <c r="G32" s="388">
        <v>540752027</v>
      </c>
      <c r="H32" s="390">
        <v>1</v>
      </c>
      <c r="I32" s="388">
        <f>G32*H32</f>
        <v>540752027</v>
      </c>
      <c r="J32" s="421"/>
    </row>
    <row r="33" spans="1:18" ht="12.75" x14ac:dyDescent="0.2">
      <c r="A33" s="392" t="s">
        <v>876</v>
      </c>
      <c r="B33" s="389"/>
      <c r="C33" s="389"/>
      <c r="D33" s="393"/>
      <c r="E33" s="389">
        <v>-98054262</v>
      </c>
      <c r="F33" s="388"/>
      <c r="G33" s="387"/>
      <c r="H33" s="387"/>
      <c r="I33" s="388">
        <v>-76318159</v>
      </c>
      <c r="J33" s="421"/>
    </row>
    <row r="34" spans="1:18" ht="12.75" x14ac:dyDescent="0.2">
      <c r="A34" s="392" t="s">
        <v>882</v>
      </c>
      <c r="B34" s="484"/>
      <c r="C34" s="484"/>
      <c r="D34" s="498"/>
      <c r="E34" s="484">
        <f>E32+E33</f>
        <v>657925688</v>
      </c>
      <c r="F34" s="441"/>
      <c r="G34" s="489"/>
      <c r="H34" s="489"/>
      <c r="I34" s="388">
        <f>I32+I33</f>
        <v>464433868</v>
      </c>
      <c r="J34" s="421"/>
    </row>
    <row r="35" spans="1:18" ht="12.75" x14ac:dyDescent="0.2">
      <c r="A35" s="488" t="s">
        <v>1085</v>
      </c>
      <c r="B35" s="484"/>
      <c r="C35" s="484"/>
      <c r="D35" s="484"/>
      <c r="E35" s="484">
        <v>0</v>
      </c>
      <c r="F35" s="441"/>
      <c r="G35" s="489"/>
      <c r="H35" s="489"/>
      <c r="I35" s="441">
        <v>0</v>
      </c>
      <c r="J35" s="421"/>
      <c r="K35" s="490">
        <f>I12+I16+I19+I25+I28+I31+I34+I35</f>
        <v>548339468</v>
      </c>
      <c r="L35" s="6" t="s">
        <v>957</v>
      </c>
    </row>
    <row r="36" spans="1:18" ht="24" x14ac:dyDescent="0.2">
      <c r="A36" s="481" t="s">
        <v>1086</v>
      </c>
      <c r="B36" s="484"/>
      <c r="C36" s="484"/>
      <c r="D36" s="484"/>
      <c r="E36" s="484"/>
      <c r="F36" s="441"/>
      <c r="G36" s="489"/>
      <c r="H36" s="489"/>
      <c r="I36" s="388">
        <v>0</v>
      </c>
      <c r="J36" s="421"/>
      <c r="K36" s="490"/>
    </row>
    <row r="37" spans="1:18" ht="12.75" x14ac:dyDescent="0.2">
      <c r="A37" s="488"/>
      <c r="B37" s="484"/>
      <c r="C37" s="484"/>
      <c r="D37" s="484"/>
      <c r="E37" s="484"/>
      <c r="F37" s="441"/>
      <c r="G37" s="489"/>
      <c r="H37" s="489"/>
      <c r="I37" s="441"/>
      <c r="J37" s="421"/>
      <c r="K37" s="490"/>
    </row>
    <row r="38" spans="1:18" ht="12.75" x14ac:dyDescent="0.2">
      <c r="A38" s="491" t="s">
        <v>84</v>
      </c>
      <c r="B38" s="484"/>
      <c r="C38" s="484"/>
      <c r="D38" s="484"/>
      <c r="E38" s="484"/>
      <c r="F38" s="441"/>
      <c r="G38" s="489"/>
      <c r="H38" s="489"/>
      <c r="I38" s="441"/>
      <c r="J38" s="421"/>
    </row>
    <row r="39" spans="1:18" ht="24" x14ac:dyDescent="0.2">
      <c r="A39" s="481" t="s">
        <v>884</v>
      </c>
      <c r="B39" s="484"/>
      <c r="C39" s="484"/>
      <c r="D39" s="484"/>
      <c r="E39" s="484"/>
      <c r="F39" s="441"/>
      <c r="G39" s="489"/>
      <c r="H39" s="489"/>
      <c r="I39" s="441"/>
      <c r="J39" s="421"/>
    </row>
    <row r="40" spans="1:18" ht="12.75" x14ac:dyDescent="0.2">
      <c r="A40" s="481" t="s">
        <v>885</v>
      </c>
      <c r="B40" s="484"/>
      <c r="C40" s="493">
        <v>13.1</v>
      </c>
      <c r="D40" s="484">
        <v>4152000</v>
      </c>
      <c r="E40" s="484">
        <f>C40*D40*8/12</f>
        <v>36260800</v>
      </c>
      <c r="F40" s="610" t="s">
        <v>1130</v>
      </c>
      <c r="G40" s="546">
        <v>12.5</v>
      </c>
      <c r="H40" s="603">
        <v>4419000</v>
      </c>
      <c r="I40" s="388">
        <f>G40*8/12*4419000</f>
        <v>36825000</v>
      </c>
      <c r="J40" s="421"/>
    </row>
    <row r="41" spans="1:18" ht="12.75" x14ac:dyDescent="0.2">
      <c r="A41" s="481" t="s">
        <v>886</v>
      </c>
      <c r="B41" s="484"/>
      <c r="C41" s="493">
        <v>13.1</v>
      </c>
      <c r="D41" s="494">
        <v>4152000</v>
      </c>
      <c r="E41" s="484">
        <f>C41*D41*4/12</f>
        <v>18130400</v>
      </c>
      <c r="F41" s="610" t="s">
        <v>1130</v>
      </c>
      <c r="G41" s="492">
        <v>12.5</v>
      </c>
      <c r="H41" s="603">
        <v>4419000</v>
      </c>
      <c r="I41" s="388">
        <f>G41*4/12*H41</f>
        <v>18412500</v>
      </c>
      <c r="J41" s="421"/>
    </row>
    <row r="42" spans="1:18" ht="24" x14ac:dyDescent="0.2">
      <c r="A42" s="481" t="s">
        <v>887</v>
      </c>
      <c r="B42" s="484"/>
      <c r="C42" s="484">
        <v>10</v>
      </c>
      <c r="D42" s="484">
        <v>1800000</v>
      </c>
      <c r="E42" s="487">
        <f>C42*D42*8/12</f>
        <v>12000000</v>
      </c>
      <c r="F42" s="543"/>
      <c r="G42" s="492">
        <v>9</v>
      </c>
      <c r="H42" s="603">
        <v>2205000</v>
      </c>
      <c r="I42" s="388">
        <f>G42*H42*8/12</f>
        <v>13230000</v>
      </c>
      <c r="J42" s="421"/>
    </row>
    <row r="43" spans="1:18" ht="24" x14ac:dyDescent="0.2">
      <c r="A43" s="481" t="s">
        <v>990</v>
      </c>
      <c r="B43" s="484"/>
      <c r="C43" s="484"/>
      <c r="D43" s="484"/>
      <c r="E43" s="487"/>
      <c r="F43" s="441"/>
      <c r="G43" s="492">
        <v>0</v>
      </c>
      <c r="H43" s="603">
        <v>4419000</v>
      </c>
      <c r="I43" s="388">
        <f>G43*H43*8/12</f>
        <v>0</v>
      </c>
      <c r="J43" s="421"/>
    </row>
    <row r="44" spans="1:18" ht="24" x14ac:dyDescent="0.2">
      <c r="A44" s="481" t="s">
        <v>889</v>
      </c>
      <c r="B44" s="484"/>
      <c r="C44" s="484">
        <v>10</v>
      </c>
      <c r="D44" s="484">
        <v>1800000</v>
      </c>
      <c r="E44" s="484">
        <f>C44*D44*4/12</f>
        <v>6000000</v>
      </c>
      <c r="F44" s="441"/>
      <c r="G44" s="492">
        <v>9</v>
      </c>
      <c r="H44" s="603">
        <v>2205000</v>
      </c>
      <c r="I44" s="388">
        <f>G44*H44*4/12</f>
        <v>6615000</v>
      </c>
      <c r="J44" s="422"/>
    </row>
    <row r="45" spans="1:18" ht="39" x14ac:dyDescent="0.2">
      <c r="A45" s="481" t="s">
        <v>991</v>
      </c>
      <c r="B45" s="484"/>
      <c r="C45" s="484"/>
      <c r="D45" s="484"/>
      <c r="E45" s="484"/>
      <c r="F45" s="441"/>
      <c r="G45" s="492">
        <v>0</v>
      </c>
      <c r="H45" s="603">
        <v>4419000</v>
      </c>
      <c r="I45" s="388">
        <f>G45*H45*4/12</f>
        <v>0</v>
      </c>
      <c r="J45" s="422"/>
      <c r="K45" s="591" t="s">
        <v>958</v>
      </c>
      <c r="L45" s="490">
        <f>I12+I14+I17+I20+I23+I26+I29+I32</f>
        <v>671772369</v>
      </c>
      <c r="N45" s="592" t="s">
        <v>1131</v>
      </c>
      <c r="O45" s="490">
        <v>123432901</v>
      </c>
      <c r="P45" s="490">
        <f>I15+I18+I21+I24+I27+I30</f>
        <v>-47114742</v>
      </c>
      <c r="Q45" s="490">
        <f>O45+P45</f>
        <v>76318159</v>
      </c>
      <c r="R45" s="592" t="s">
        <v>959</v>
      </c>
    </row>
    <row r="46" spans="1:18" ht="12.75" x14ac:dyDescent="0.2">
      <c r="A46" s="392" t="s">
        <v>892</v>
      </c>
      <c r="B46" s="484"/>
      <c r="C46" s="484"/>
      <c r="D46" s="484"/>
      <c r="E46" s="484"/>
      <c r="F46" s="441"/>
      <c r="G46" s="489"/>
      <c r="H46" s="489"/>
      <c r="I46" s="441"/>
      <c r="J46" s="421"/>
    </row>
    <row r="47" spans="1:18" ht="24" x14ac:dyDescent="0.2">
      <c r="A47" s="481" t="s">
        <v>992</v>
      </c>
      <c r="B47" s="484"/>
      <c r="C47" s="484">
        <v>142</v>
      </c>
      <c r="D47" s="484">
        <v>70000</v>
      </c>
      <c r="E47" s="484">
        <f>C47*D47*8/12</f>
        <v>6626666.666666667</v>
      </c>
      <c r="F47" s="585"/>
      <c r="G47" s="388">
        <v>138</v>
      </c>
      <c r="H47" s="389">
        <v>81700</v>
      </c>
      <c r="I47" s="388">
        <f>G47*H47*8/12</f>
        <v>7516400</v>
      </c>
      <c r="J47" s="421"/>
    </row>
    <row r="48" spans="1:18" ht="24" x14ac:dyDescent="0.2">
      <c r="A48" s="481" t="s">
        <v>993</v>
      </c>
      <c r="B48" s="484"/>
      <c r="C48" s="484"/>
      <c r="D48" s="484"/>
      <c r="E48" s="484"/>
      <c r="F48" s="585"/>
      <c r="G48" s="388">
        <v>0</v>
      </c>
      <c r="H48" s="389">
        <v>80000</v>
      </c>
      <c r="I48" s="388">
        <v>0</v>
      </c>
      <c r="J48" s="421"/>
    </row>
    <row r="49" spans="1:12" ht="24" x14ac:dyDescent="0.2">
      <c r="A49" s="481" t="s">
        <v>941</v>
      </c>
      <c r="B49" s="484"/>
      <c r="C49" s="484">
        <v>142</v>
      </c>
      <c r="D49" s="484">
        <v>70000</v>
      </c>
      <c r="E49" s="484">
        <f>C49*D49*4/12</f>
        <v>3313333.3333333335</v>
      </c>
      <c r="F49" s="543"/>
      <c r="G49" s="388">
        <v>138</v>
      </c>
      <c r="H49" s="389">
        <v>81700</v>
      </c>
      <c r="I49" s="388">
        <f>G49*H49*4/12</f>
        <v>3758200</v>
      </c>
      <c r="J49" s="421"/>
    </row>
    <row r="50" spans="1:12" ht="24" x14ac:dyDescent="0.2">
      <c r="A50" s="481" t="s">
        <v>994</v>
      </c>
      <c r="B50" s="484"/>
      <c r="C50" s="484"/>
      <c r="D50" s="484"/>
      <c r="E50" s="484"/>
      <c r="F50" s="543"/>
      <c r="G50" s="388">
        <v>0</v>
      </c>
      <c r="H50" s="389">
        <v>80000</v>
      </c>
      <c r="I50" s="388">
        <v>0</v>
      </c>
      <c r="J50" s="421"/>
    </row>
    <row r="51" spans="1:12" ht="12.75" x14ac:dyDescent="0.2">
      <c r="A51" s="392" t="s">
        <v>942</v>
      </c>
      <c r="B51" s="484"/>
      <c r="C51" s="484"/>
      <c r="D51" s="484"/>
      <c r="E51" s="484"/>
      <c r="F51" s="441"/>
      <c r="G51" s="489"/>
      <c r="H51" s="489"/>
      <c r="I51" s="441"/>
      <c r="J51" s="421"/>
    </row>
    <row r="52" spans="1:12" ht="48" x14ac:dyDescent="0.2">
      <c r="A52" s="481" t="s">
        <v>1087</v>
      </c>
      <c r="B52" s="484"/>
      <c r="C52" s="484">
        <v>5</v>
      </c>
      <c r="D52" s="547" t="s">
        <v>316</v>
      </c>
      <c r="E52" s="484">
        <v>1760000</v>
      </c>
      <c r="F52" s="441"/>
      <c r="G52" s="387">
        <v>4</v>
      </c>
      <c r="H52" s="388">
        <v>401000</v>
      </c>
      <c r="I52" s="388">
        <f>G52*H52</f>
        <v>1604000</v>
      </c>
      <c r="J52" s="421"/>
    </row>
    <row r="53" spans="1:12" ht="48" x14ac:dyDescent="0.2">
      <c r="A53" s="481" t="s">
        <v>1088</v>
      </c>
      <c r="B53" s="484"/>
      <c r="C53" s="484"/>
      <c r="D53" s="484"/>
      <c r="E53" s="484"/>
      <c r="F53" s="441"/>
      <c r="G53" s="387">
        <v>0</v>
      </c>
      <c r="H53" s="388">
        <v>367583</v>
      </c>
      <c r="I53" s="388">
        <f>G53*H53</f>
        <v>0</v>
      </c>
      <c r="J53" s="421"/>
      <c r="K53" s="490">
        <f>SUM(I40:I53)</f>
        <v>87961100</v>
      </c>
      <c r="L53" s="6" t="s">
        <v>960</v>
      </c>
    </row>
    <row r="54" spans="1:12" ht="12.75" x14ac:dyDescent="0.2">
      <c r="A54" s="481"/>
      <c r="B54" s="484"/>
      <c r="C54" s="484"/>
      <c r="D54" s="484"/>
      <c r="E54" s="484"/>
      <c r="F54" s="441"/>
      <c r="G54" s="489"/>
      <c r="H54" s="489"/>
      <c r="I54" s="441"/>
      <c r="J54" s="421"/>
      <c r="K54" s="490"/>
    </row>
    <row r="55" spans="1:12" ht="12.75" x14ac:dyDescent="0.2">
      <c r="A55" s="491" t="s">
        <v>85</v>
      </c>
      <c r="B55" s="484"/>
      <c r="C55" s="484"/>
      <c r="D55" s="484"/>
      <c r="E55" s="484"/>
      <c r="F55" s="441"/>
      <c r="G55" s="489"/>
      <c r="H55" s="489"/>
      <c r="I55" s="441"/>
      <c r="J55" s="421"/>
    </row>
    <row r="56" spans="1:12" ht="12.75" x14ac:dyDescent="0.2">
      <c r="A56" s="488" t="s">
        <v>1089</v>
      </c>
      <c r="B56" s="484"/>
      <c r="C56" s="484"/>
      <c r="D56" s="484"/>
      <c r="E56" s="484">
        <v>0</v>
      </c>
      <c r="F56" s="441"/>
      <c r="G56" s="489"/>
      <c r="H56" s="489"/>
      <c r="I56" s="388">
        <v>0</v>
      </c>
      <c r="J56" s="423"/>
    </row>
    <row r="57" spans="1:12" ht="24" x14ac:dyDescent="0.2">
      <c r="A57" s="481" t="s">
        <v>902</v>
      </c>
      <c r="B57" s="484"/>
      <c r="C57" s="484"/>
      <c r="D57" s="484"/>
      <c r="E57" s="487">
        <v>0</v>
      </c>
      <c r="F57" s="441"/>
      <c r="G57" s="489"/>
      <c r="H57" s="489"/>
      <c r="I57" s="388">
        <v>0</v>
      </c>
      <c r="J57" s="421"/>
    </row>
    <row r="58" spans="1:12" ht="12.75" x14ac:dyDescent="0.2">
      <c r="A58" s="392" t="s">
        <v>903</v>
      </c>
      <c r="B58" s="484"/>
      <c r="C58" s="484"/>
      <c r="D58" s="484"/>
      <c r="E58" s="484"/>
      <c r="F58" s="441"/>
      <c r="G58" s="489"/>
      <c r="H58" s="489"/>
      <c r="I58" s="441"/>
      <c r="J58" s="421"/>
    </row>
    <row r="59" spans="1:12" ht="12.75" x14ac:dyDescent="0.2">
      <c r="A59" s="392" t="s">
        <v>904</v>
      </c>
      <c r="B59" s="484"/>
      <c r="C59" s="484"/>
      <c r="D59" s="484"/>
      <c r="E59" s="484"/>
      <c r="F59" s="441"/>
      <c r="G59" s="489"/>
      <c r="H59" s="489"/>
      <c r="I59" s="441"/>
      <c r="J59" s="421"/>
    </row>
    <row r="60" spans="1:12" ht="12.75" x14ac:dyDescent="0.2">
      <c r="A60" s="392" t="s">
        <v>905</v>
      </c>
      <c r="B60" s="484"/>
      <c r="C60" s="484"/>
      <c r="D60" s="484"/>
      <c r="E60" s="484"/>
      <c r="F60" s="441"/>
      <c r="G60" s="489"/>
      <c r="H60" s="489"/>
      <c r="I60" s="441"/>
      <c r="J60" s="421"/>
    </row>
    <row r="61" spans="1:12" ht="36" x14ac:dyDescent="0.2">
      <c r="A61" s="495" t="s">
        <v>1090</v>
      </c>
      <c r="B61" s="488"/>
      <c r="C61" s="497"/>
      <c r="D61" s="484"/>
      <c r="E61" s="484">
        <f>C61*D61/2</f>
        <v>0</v>
      </c>
      <c r="F61" s="389">
        <v>7822</v>
      </c>
      <c r="G61" s="498"/>
      <c r="H61" s="489"/>
      <c r="I61" s="441"/>
      <c r="J61" s="423"/>
    </row>
    <row r="62" spans="1:12" ht="24" x14ac:dyDescent="0.2">
      <c r="A62" s="481" t="s">
        <v>943</v>
      </c>
      <c r="B62" s="484"/>
      <c r="C62" s="488"/>
      <c r="D62" s="484"/>
      <c r="E62" s="484"/>
      <c r="F62" s="441"/>
      <c r="G62" s="394">
        <v>0</v>
      </c>
      <c r="H62" s="489"/>
      <c r="I62" s="441"/>
      <c r="J62" s="423"/>
    </row>
    <row r="63" spans="1:12" ht="12.75" x14ac:dyDescent="0.2">
      <c r="A63" s="392" t="s">
        <v>944</v>
      </c>
      <c r="B63" s="484"/>
      <c r="C63" s="488"/>
      <c r="D63" s="484"/>
      <c r="E63" s="484"/>
      <c r="F63" s="441"/>
      <c r="G63" s="393">
        <v>1</v>
      </c>
      <c r="H63" s="489"/>
      <c r="I63" s="441"/>
      <c r="J63" s="421"/>
    </row>
    <row r="64" spans="1:12" ht="12.75" x14ac:dyDescent="0.2">
      <c r="A64" s="392" t="s">
        <v>909</v>
      </c>
      <c r="B64" s="484"/>
      <c r="C64" s="499">
        <v>0.97299999999999998</v>
      </c>
      <c r="D64" s="484">
        <v>3000000</v>
      </c>
      <c r="E64" s="484"/>
      <c r="F64" s="441"/>
      <c r="G64" s="393">
        <v>2</v>
      </c>
      <c r="H64" s="604">
        <v>3400000</v>
      </c>
      <c r="I64" s="608">
        <f>(2*1+0)*3400000</f>
        <v>6800000</v>
      </c>
      <c r="J64" s="421"/>
    </row>
    <row r="65" spans="1:12" ht="12.75" x14ac:dyDescent="0.2">
      <c r="A65" s="392" t="s">
        <v>910</v>
      </c>
      <c r="B65" s="500"/>
      <c r="C65" s="484">
        <v>80</v>
      </c>
      <c r="D65" s="484">
        <v>55360</v>
      </c>
      <c r="E65" s="484">
        <f>C65*D65</f>
        <v>4428800</v>
      </c>
      <c r="F65" s="543"/>
      <c r="G65" s="389">
        <v>80</v>
      </c>
      <c r="H65" s="389">
        <v>55360</v>
      </c>
      <c r="I65" s="389">
        <f>G65*H65</f>
        <v>4428800</v>
      </c>
      <c r="J65" s="421"/>
    </row>
    <row r="66" spans="1:12" ht="12.75" x14ac:dyDescent="0.2">
      <c r="A66" s="392" t="s">
        <v>911</v>
      </c>
      <c r="B66" s="500"/>
      <c r="C66" s="484">
        <v>55</v>
      </c>
      <c r="D66" s="484">
        <v>145000</v>
      </c>
      <c r="E66" s="484">
        <f>C66*D66</f>
        <v>7975000</v>
      </c>
      <c r="F66" s="441"/>
      <c r="G66" s="484"/>
      <c r="H66" s="484"/>
      <c r="I66" s="484"/>
      <c r="J66" s="421"/>
    </row>
    <row r="67" spans="1:12" ht="12.75" x14ac:dyDescent="0.2">
      <c r="A67" s="392" t="s">
        <v>945</v>
      </c>
      <c r="B67" s="500"/>
      <c r="C67" s="484"/>
      <c r="D67" s="484"/>
      <c r="E67" s="484"/>
      <c r="F67" s="543"/>
      <c r="G67" s="389">
        <v>5</v>
      </c>
      <c r="H67" s="389">
        <v>25000</v>
      </c>
      <c r="I67" s="389">
        <f>G67*H67</f>
        <v>125000</v>
      </c>
      <c r="J67" s="421"/>
    </row>
    <row r="68" spans="1:12" ht="12.75" x14ac:dyDescent="0.2">
      <c r="A68" s="392" t="s">
        <v>946</v>
      </c>
      <c r="B68" s="500"/>
      <c r="C68" s="484"/>
      <c r="D68" s="484"/>
      <c r="E68" s="484"/>
      <c r="F68" s="543"/>
      <c r="G68" s="389">
        <v>49</v>
      </c>
      <c r="H68" s="604">
        <v>330000</v>
      </c>
      <c r="I68" s="614">
        <f>G68*H68</f>
        <v>16170000</v>
      </c>
      <c r="J68" s="421"/>
    </row>
    <row r="69" spans="1:12" ht="12.75" x14ac:dyDescent="0.2">
      <c r="A69" s="481" t="s">
        <v>947</v>
      </c>
      <c r="B69" s="548"/>
      <c r="C69" s="389">
        <v>23</v>
      </c>
      <c r="D69" s="389">
        <v>109000</v>
      </c>
      <c r="E69" s="389">
        <f>C69*D69</f>
        <v>2507000</v>
      </c>
      <c r="F69" s="388"/>
      <c r="G69" s="389">
        <v>25</v>
      </c>
      <c r="H69" s="389">
        <v>109000</v>
      </c>
      <c r="I69" s="389">
        <f>G69*H69</f>
        <v>2725000</v>
      </c>
      <c r="J69" s="421"/>
    </row>
    <row r="70" spans="1:12" ht="12.75" x14ac:dyDescent="0.2">
      <c r="A70" s="481" t="s">
        <v>913</v>
      </c>
      <c r="B70" s="548"/>
      <c r="C70" s="389"/>
      <c r="D70" s="389"/>
      <c r="E70" s="389"/>
      <c r="F70" s="388"/>
      <c r="G70" s="387"/>
      <c r="H70" s="387"/>
      <c r="I70" s="388"/>
      <c r="J70" s="421"/>
    </row>
    <row r="71" spans="1:12" ht="24" x14ac:dyDescent="0.2">
      <c r="A71" s="481" t="s">
        <v>1091</v>
      </c>
      <c r="B71" s="500"/>
      <c r="C71" s="484"/>
      <c r="D71" s="484"/>
      <c r="E71" s="484"/>
      <c r="F71" s="441"/>
      <c r="G71" s="489"/>
      <c r="H71" s="489"/>
      <c r="I71" s="441"/>
      <c r="J71" s="421"/>
    </row>
    <row r="72" spans="1:12" ht="24" x14ac:dyDescent="0.2">
      <c r="A72" s="495" t="s">
        <v>961</v>
      </c>
      <c r="B72" s="500"/>
      <c r="C72" s="484">
        <v>15</v>
      </c>
      <c r="D72" s="484">
        <v>2606040</v>
      </c>
      <c r="E72" s="484">
        <f>C72*D72</f>
        <v>39090600</v>
      </c>
      <c r="F72" s="543"/>
      <c r="G72" s="389">
        <v>15</v>
      </c>
      <c r="H72" s="604">
        <v>2848000</v>
      </c>
      <c r="I72" s="389">
        <f>G72*H72</f>
        <v>42720000</v>
      </c>
      <c r="J72" s="421"/>
    </row>
    <row r="73" spans="1:12" ht="12.75" x14ac:dyDescent="0.2">
      <c r="A73" s="392" t="s">
        <v>918</v>
      </c>
      <c r="B73" s="500"/>
      <c r="C73" s="484"/>
      <c r="D73" s="484"/>
      <c r="E73" s="487">
        <v>37834000</v>
      </c>
      <c r="F73" s="543"/>
      <c r="G73" s="489"/>
      <c r="H73" s="489"/>
      <c r="I73" s="608">
        <v>36824000</v>
      </c>
      <c r="J73" s="425"/>
    </row>
    <row r="74" spans="1:12" ht="12.75" x14ac:dyDescent="0.2">
      <c r="A74" s="392" t="s">
        <v>1093</v>
      </c>
      <c r="B74" s="500"/>
      <c r="C74" s="484"/>
      <c r="D74" s="484"/>
      <c r="E74" s="484"/>
      <c r="F74" s="441"/>
      <c r="G74" s="489"/>
      <c r="H74" s="489"/>
      <c r="I74" s="441"/>
      <c r="J74" s="421"/>
    </row>
    <row r="75" spans="1:12" ht="12.75" x14ac:dyDescent="0.2">
      <c r="A75" s="392" t="s">
        <v>1094</v>
      </c>
      <c r="B75" s="484"/>
      <c r="C75" s="493">
        <v>12.33</v>
      </c>
      <c r="D75" s="484">
        <v>1632000</v>
      </c>
      <c r="E75" s="484">
        <f>C75*D75</f>
        <v>20122560</v>
      </c>
      <c r="F75" s="633" t="s">
        <v>1132</v>
      </c>
      <c r="G75" s="390">
        <v>14.4</v>
      </c>
      <c r="H75" s="604">
        <v>1900000</v>
      </c>
      <c r="I75" s="389">
        <f>G75*H75</f>
        <v>27360000</v>
      </c>
      <c r="J75" s="426"/>
    </row>
    <row r="76" spans="1:12" ht="12.75" x14ac:dyDescent="0.2">
      <c r="A76" s="392" t="s">
        <v>1095</v>
      </c>
      <c r="B76" s="484"/>
      <c r="C76" s="484"/>
      <c r="D76" s="484"/>
      <c r="E76" s="487">
        <v>7038795</v>
      </c>
      <c r="F76" s="543"/>
      <c r="G76" s="489"/>
      <c r="H76" s="489"/>
      <c r="I76" s="608">
        <v>23121669</v>
      </c>
      <c r="J76" s="427"/>
    </row>
    <row r="77" spans="1:12" ht="24" x14ac:dyDescent="0.2">
      <c r="A77" s="481" t="s">
        <v>1096</v>
      </c>
      <c r="B77" s="484"/>
      <c r="C77" s="484"/>
      <c r="D77" s="484"/>
      <c r="E77" s="487"/>
      <c r="F77" s="543"/>
      <c r="G77" s="388">
        <v>0</v>
      </c>
      <c r="H77" s="388">
        <v>285</v>
      </c>
      <c r="I77" s="388">
        <f>G77*H77</f>
        <v>0</v>
      </c>
      <c r="J77" s="421"/>
    </row>
    <row r="78" spans="1:12" ht="12.75" x14ac:dyDescent="0.2">
      <c r="A78" s="481" t="s">
        <v>1097</v>
      </c>
      <c r="B78" s="484"/>
      <c r="C78" s="484"/>
      <c r="D78" s="484"/>
      <c r="E78" s="503"/>
      <c r="F78" s="543"/>
      <c r="G78" s="546"/>
      <c r="H78" s="388"/>
      <c r="I78" s="388"/>
      <c r="J78" s="421"/>
      <c r="K78" s="490">
        <f>SUM(I56:I82)</f>
        <v>174499869</v>
      </c>
      <c r="L78" s="6" t="s">
        <v>962</v>
      </c>
    </row>
    <row r="79" spans="1:12" ht="12.75" x14ac:dyDescent="0.2">
      <c r="A79" s="481" t="s">
        <v>1098</v>
      </c>
      <c r="B79" s="484"/>
      <c r="C79" s="484"/>
      <c r="D79" s="484"/>
      <c r="E79" s="503"/>
      <c r="F79" s="543"/>
      <c r="G79" s="546"/>
      <c r="H79" s="388"/>
      <c r="I79" s="388"/>
      <c r="J79" s="421"/>
      <c r="K79" s="490"/>
    </row>
    <row r="80" spans="1:12" ht="36" x14ac:dyDescent="0.2">
      <c r="A80" s="481" t="s">
        <v>1101</v>
      </c>
      <c r="B80" s="484"/>
      <c r="C80" s="484"/>
      <c r="D80" s="484"/>
      <c r="E80" s="503"/>
      <c r="F80" s="585" t="s">
        <v>1102</v>
      </c>
      <c r="G80" s="546">
        <v>2</v>
      </c>
      <c r="H80" s="388">
        <v>4419000</v>
      </c>
      <c r="I80" s="388">
        <f>G80*H80</f>
        <v>8838000</v>
      </c>
      <c r="J80" s="421"/>
      <c r="K80" s="490"/>
    </row>
    <row r="81" spans="1:14" ht="36" x14ac:dyDescent="0.2">
      <c r="A81" s="481" t="s">
        <v>1168</v>
      </c>
      <c r="B81" s="484"/>
      <c r="C81" s="484"/>
      <c r="D81" s="484"/>
      <c r="E81" s="503"/>
      <c r="F81" s="585" t="s">
        <v>1100</v>
      </c>
      <c r="G81" s="546">
        <v>1.8</v>
      </c>
      <c r="H81" s="388">
        <v>2993000</v>
      </c>
      <c r="I81" s="388">
        <f>G81*H81</f>
        <v>5387400</v>
      </c>
      <c r="J81" s="421"/>
      <c r="K81" s="490"/>
    </row>
    <row r="82" spans="1:14" ht="24" x14ac:dyDescent="0.2">
      <c r="A82" s="481" t="s">
        <v>1103</v>
      </c>
      <c r="B82" s="484"/>
      <c r="C82" s="484"/>
      <c r="D82" s="484"/>
      <c r="E82" s="503"/>
      <c r="F82" s="543"/>
      <c r="G82" s="546"/>
      <c r="H82" s="388">
        <v>0</v>
      </c>
      <c r="I82" s="388">
        <v>0</v>
      </c>
      <c r="J82" s="421"/>
      <c r="K82" s="490"/>
    </row>
    <row r="83" spans="1:14" ht="12.75" x14ac:dyDescent="0.2">
      <c r="A83" s="481"/>
      <c r="B83" s="484"/>
      <c r="C83" s="484"/>
      <c r="D83" s="484"/>
      <c r="E83" s="503"/>
      <c r="F83" s="543"/>
      <c r="G83" s="546"/>
      <c r="H83" s="388"/>
      <c r="I83" s="388"/>
      <c r="J83" s="421"/>
      <c r="K83" s="490"/>
    </row>
    <row r="84" spans="1:14" ht="12.75" x14ac:dyDescent="0.2">
      <c r="A84" s="392" t="s">
        <v>924</v>
      </c>
      <c r="B84" s="484"/>
      <c r="C84" s="484"/>
      <c r="D84" s="484"/>
      <c r="E84" s="503"/>
      <c r="F84" s="441"/>
      <c r="G84" s="489"/>
      <c r="H84" s="489"/>
      <c r="I84" s="441"/>
      <c r="J84" s="421"/>
    </row>
    <row r="85" spans="1:14" ht="12.75" x14ac:dyDescent="0.2">
      <c r="A85" s="392" t="s">
        <v>925</v>
      </c>
      <c r="B85" s="484"/>
      <c r="C85" s="484"/>
      <c r="D85" s="484"/>
      <c r="E85" s="503"/>
      <c r="F85" s="441"/>
      <c r="G85" s="489"/>
      <c r="H85" s="489"/>
      <c r="I85" s="441"/>
      <c r="J85" s="421"/>
    </row>
    <row r="86" spans="1:14" ht="12.75" x14ac:dyDescent="0.2">
      <c r="A86" s="392" t="s">
        <v>926</v>
      </c>
      <c r="B86" s="484"/>
      <c r="C86" s="484">
        <v>4865</v>
      </c>
      <c r="D86" s="484">
        <v>1140</v>
      </c>
      <c r="E86" s="504"/>
      <c r="F86" s="441"/>
      <c r="G86" s="389">
        <v>4705</v>
      </c>
      <c r="H86" s="604">
        <v>1210</v>
      </c>
      <c r="I86" s="203">
        <f>G86*H86</f>
        <v>5693050</v>
      </c>
      <c r="J86" s="421"/>
    </row>
    <row r="87" spans="1:14" ht="48" x14ac:dyDescent="0.2">
      <c r="A87" s="481" t="s">
        <v>927</v>
      </c>
      <c r="B87" s="484"/>
      <c r="C87" s="484"/>
      <c r="D87" s="484"/>
      <c r="E87" s="504"/>
      <c r="F87" s="585" t="s">
        <v>1104</v>
      </c>
      <c r="G87" s="484"/>
      <c r="H87" s="484"/>
      <c r="I87" s="203">
        <v>0</v>
      </c>
      <c r="J87" s="421"/>
    </row>
    <row r="88" spans="1:14" ht="48" x14ac:dyDescent="0.2">
      <c r="A88" s="481" t="s">
        <v>1105</v>
      </c>
      <c r="B88" s="484"/>
      <c r="C88" s="484"/>
      <c r="D88" s="484"/>
      <c r="E88" s="504"/>
      <c r="F88" s="585" t="s">
        <v>1106</v>
      </c>
      <c r="G88" s="484"/>
      <c r="H88" s="484"/>
      <c r="I88" s="203">
        <v>0</v>
      </c>
      <c r="J88" s="421"/>
    </row>
    <row r="89" spans="1:14" ht="12.75" x14ac:dyDescent="0.2">
      <c r="A89" s="495" t="s">
        <v>1107</v>
      </c>
      <c r="B89" s="500"/>
      <c r="C89" s="484"/>
      <c r="D89" s="498"/>
      <c r="E89" s="484"/>
      <c r="F89" s="441"/>
      <c r="G89" s="489"/>
      <c r="H89" s="489"/>
      <c r="I89" s="441"/>
      <c r="J89" s="421"/>
      <c r="K89" s="490">
        <f>SUM(I86+I87)</f>
        <v>5693050</v>
      </c>
      <c r="L89" s="6" t="s">
        <v>963</v>
      </c>
    </row>
    <row r="90" spans="1:14" ht="24" x14ac:dyDescent="0.2">
      <c r="A90" s="505" t="s">
        <v>1108</v>
      </c>
      <c r="B90" s="549"/>
      <c r="C90" s="550"/>
      <c r="D90" s="389"/>
      <c r="E90" s="389"/>
      <c r="F90" s="551"/>
      <c r="G90" s="387"/>
      <c r="H90" s="387"/>
      <c r="I90" s="441"/>
      <c r="J90" s="421"/>
      <c r="K90" s="490"/>
      <c r="L90" s="490">
        <f>I15+I18+I21+I24+I27+I30+I33</f>
        <v>-123432901</v>
      </c>
      <c r="M90" s="552" t="s">
        <v>964</v>
      </c>
      <c r="N90" s="202"/>
    </row>
    <row r="91" spans="1:14" ht="12.75" x14ac:dyDescent="0.2">
      <c r="A91" s="530" t="s">
        <v>1109</v>
      </c>
      <c r="B91" s="553"/>
      <c r="C91" s="554"/>
      <c r="D91" s="555"/>
      <c r="E91" s="555"/>
      <c r="F91" s="556"/>
      <c r="G91" s="557"/>
      <c r="H91" s="557"/>
      <c r="I91" s="558">
        <v>0</v>
      </c>
      <c r="J91" s="421"/>
      <c r="K91" s="490"/>
      <c r="L91" s="490"/>
      <c r="M91" s="552"/>
      <c r="N91" s="202"/>
    </row>
    <row r="92" spans="1:14" ht="12.75" x14ac:dyDescent="0.2">
      <c r="A92" s="530"/>
      <c r="B92" s="553"/>
      <c r="C92" s="554"/>
      <c r="D92" s="555"/>
      <c r="E92" s="555"/>
      <c r="F92" s="553"/>
      <c r="G92" s="557"/>
      <c r="H92" s="557"/>
      <c r="I92" s="511"/>
      <c r="J92" s="421"/>
      <c r="K92" s="490"/>
      <c r="L92" s="490"/>
      <c r="N92" s="202"/>
    </row>
    <row r="93" spans="1:14" ht="12.75" x14ac:dyDescent="0.2">
      <c r="A93" s="530" t="s">
        <v>948</v>
      </c>
      <c r="B93" s="553"/>
      <c r="C93" s="554"/>
      <c r="D93" s="555"/>
      <c r="E93" s="555"/>
      <c r="F93" s="553"/>
      <c r="G93" s="557"/>
      <c r="H93" s="557"/>
      <c r="I93" s="511"/>
      <c r="J93" s="421"/>
      <c r="K93" s="490"/>
      <c r="L93" s="490"/>
      <c r="N93" s="202"/>
    </row>
    <row r="94" spans="1:14" ht="12.75" x14ac:dyDescent="0.2">
      <c r="A94" s="530" t="s">
        <v>949</v>
      </c>
      <c r="B94" s="553"/>
      <c r="C94" s="554"/>
      <c r="D94" s="555"/>
      <c r="E94" s="555"/>
      <c r="F94" s="553"/>
      <c r="G94" s="557"/>
      <c r="H94" s="557"/>
      <c r="I94" s="558">
        <v>0</v>
      </c>
      <c r="J94" s="421"/>
      <c r="K94" s="490"/>
      <c r="L94" s="490"/>
      <c r="N94" s="202"/>
    </row>
    <row r="95" spans="1:14" ht="12.75" x14ac:dyDescent="0.2">
      <c r="A95" s="531" t="s">
        <v>950</v>
      </c>
      <c r="B95" s="553"/>
      <c r="C95" s="554"/>
      <c r="D95" s="555"/>
      <c r="E95" s="555"/>
      <c r="F95" s="553"/>
      <c r="G95" s="557"/>
      <c r="H95" s="557"/>
      <c r="I95" s="558">
        <v>0</v>
      </c>
      <c r="J95" s="421"/>
      <c r="K95" s="490">
        <f>I94+I95</f>
        <v>0</v>
      </c>
      <c r="L95" s="490" t="s">
        <v>965</v>
      </c>
      <c r="N95" s="202"/>
    </row>
    <row r="96" spans="1:14" ht="13.5" thickBot="1" x14ac:dyDescent="0.25">
      <c r="A96" s="507"/>
      <c r="B96" s="508"/>
      <c r="C96" s="509"/>
      <c r="D96" s="510"/>
      <c r="E96" s="509"/>
      <c r="F96" s="511"/>
      <c r="G96" s="512"/>
      <c r="H96" s="512"/>
      <c r="I96" s="511"/>
      <c r="J96" s="421"/>
    </row>
    <row r="97" spans="1:256" ht="12.75" thickBot="1" x14ac:dyDescent="0.25">
      <c r="A97" s="513" t="s">
        <v>929</v>
      </c>
      <c r="B97" s="514"/>
      <c r="C97" s="514"/>
      <c r="D97" s="515"/>
      <c r="E97" s="516" t="e">
        <f>E12+E14+E17+E20+E23+E28+E31+E34+E40+E41+#REF!+E42+E44+E47+E49+E52+E56+E57+E61+E62+E65+E66+E69+#REF!+E72+E73+E75+E76</f>
        <v>#REF!</v>
      </c>
      <c r="F97" s="1434">
        <f>I12+I16+I19+I22+I25+I28+I31+I34+I35+I36+I40+I41+I42+I43+I44+I45+I47+I48+I49+I50+I52+I53+I56+I57+I64+I65+I67+I68+I69+I72+I73+I75+I76+I77+I80+I81+I82+I86+I87+I88+I94+I95+I91</f>
        <v>816493487</v>
      </c>
      <c r="G97" s="1434"/>
      <c r="H97" s="1434"/>
      <c r="I97" s="1435"/>
      <c r="J97" s="7"/>
      <c r="K97" s="517">
        <f>K78+K53+K35+K89</f>
        <v>816493487</v>
      </c>
      <c r="L97" s="559" t="s">
        <v>966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60"/>
      <c r="B99" s="561"/>
      <c r="C99" s="561"/>
      <c r="D99" s="561"/>
      <c r="E99" s="562"/>
      <c r="F99" s="563"/>
      <c r="G99" s="563"/>
      <c r="H99" s="563"/>
      <c r="I99" s="563"/>
    </row>
    <row r="100" spans="1:256" ht="12.75" x14ac:dyDescent="0.2">
      <c r="A100" s="605" t="s">
        <v>1152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32" customWidth="1"/>
    <col min="2" max="2" width="9.85546875" style="132" hidden="1" customWidth="1"/>
    <col min="3" max="3" width="11.7109375" style="132" hidden="1" customWidth="1"/>
    <col min="4" max="4" width="9.85546875" style="132" hidden="1" customWidth="1"/>
    <col min="5" max="5" width="15.85546875" style="13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433" t="s">
        <v>311</v>
      </c>
      <c r="C1" s="1433"/>
      <c r="D1" s="1433"/>
      <c r="E1" s="1433"/>
    </row>
    <row r="2" spans="1:10" x14ac:dyDescent="0.2">
      <c r="F2" s="1446"/>
      <c r="G2" s="1446"/>
      <c r="H2" s="1446"/>
      <c r="I2" s="1446"/>
    </row>
    <row r="4" spans="1:10" ht="12.75" x14ac:dyDescent="0.2">
      <c r="A4" s="1444" t="s">
        <v>78</v>
      </c>
      <c r="B4" s="1444"/>
      <c r="C4" s="1444"/>
      <c r="D4" s="1444"/>
      <c r="E4" s="1444"/>
      <c r="F4" s="1445"/>
      <c r="G4" s="1445"/>
      <c r="H4" s="1445"/>
      <c r="I4" s="1445"/>
    </row>
    <row r="5" spans="1:10" ht="12.75" x14ac:dyDescent="0.2">
      <c r="A5" s="1444" t="s">
        <v>940</v>
      </c>
      <c r="B5" s="1444"/>
      <c r="C5" s="1444"/>
      <c r="D5" s="1444"/>
      <c r="E5" s="1444"/>
      <c r="F5" s="1445"/>
      <c r="G5" s="1445"/>
      <c r="H5" s="1445"/>
      <c r="I5" s="1445"/>
    </row>
    <row r="7" spans="1:10" ht="13.5" thickBot="1" x14ac:dyDescent="0.25">
      <c r="E7" s="385" t="s">
        <v>20</v>
      </c>
      <c r="F7" s="396"/>
    </row>
    <row r="8" spans="1:10" ht="12.75" customHeight="1" thickBot="1" x14ac:dyDescent="0.25">
      <c r="A8" s="1436" t="s">
        <v>79</v>
      </c>
      <c r="B8" s="1438" t="s">
        <v>116</v>
      </c>
      <c r="C8" s="1439"/>
      <c r="D8" s="1439"/>
      <c r="E8" s="1439"/>
      <c r="F8" s="1438" t="s">
        <v>951</v>
      </c>
      <c r="G8" s="1439"/>
      <c r="H8" s="1439"/>
      <c r="I8" s="1439"/>
    </row>
    <row r="9" spans="1:10" s="7" customFormat="1" ht="49.5" customHeight="1" thickBot="1" x14ac:dyDescent="0.25">
      <c r="A9" s="1437"/>
      <c r="B9" s="200" t="s">
        <v>80</v>
      </c>
      <c r="C9" s="133" t="s">
        <v>81</v>
      </c>
      <c r="D9" s="133" t="s">
        <v>721</v>
      </c>
      <c r="E9" s="201" t="s">
        <v>82</v>
      </c>
      <c r="F9" s="200" t="s">
        <v>80</v>
      </c>
      <c r="G9" s="133" t="s">
        <v>81</v>
      </c>
      <c r="H9" s="133" t="s">
        <v>721</v>
      </c>
      <c r="I9" s="201" t="s">
        <v>82</v>
      </c>
    </row>
    <row r="10" spans="1:10" ht="13.5" customHeight="1" x14ac:dyDescent="0.2">
      <c r="A10" s="397" t="s">
        <v>83</v>
      </c>
      <c r="B10" s="398"/>
      <c r="C10" s="398"/>
      <c r="D10" s="398"/>
      <c r="E10" s="398"/>
      <c r="F10" s="399"/>
      <c r="G10" s="399"/>
      <c r="H10" s="399"/>
      <c r="I10" s="399"/>
      <c r="J10" s="421"/>
    </row>
    <row r="11" spans="1:10" ht="13.5" customHeight="1" x14ac:dyDescent="0.2">
      <c r="A11" s="134" t="s">
        <v>861</v>
      </c>
      <c r="B11" s="135"/>
      <c r="C11" s="135"/>
      <c r="D11" s="135"/>
      <c r="E11" s="135"/>
      <c r="F11" s="386"/>
      <c r="G11" s="386"/>
      <c r="H11" s="386"/>
      <c r="I11" s="386"/>
      <c r="J11" s="421"/>
    </row>
    <row r="12" spans="1:10" ht="30.75" customHeight="1" x14ac:dyDescent="0.2">
      <c r="A12" s="481" t="s">
        <v>862</v>
      </c>
      <c r="B12" s="389">
        <v>4865</v>
      </c>
      <c r="C12" s="482">
        <v>18.690000000000001</v>
      </c>
      <c r="D12" s="389">
        <v>4580000</v>
      </c>
      <c r="E12" s="389">
        <f>C12*D12</f>
        <v>85600200</v>
      </c>
      <c r="F12" s="388">
        <v>4837</v>
      </c>
      <c r="G12" s="387">
        <v>18.62</v>
      </c>
      <c r="H12" s="387">
        <v>4580000</v>
      </c>
      <c r="I12" s="388">
        <f>G12*H12</f>
        <v>85279600</v>
      </c>
      <c r="J12" s="421"/>
    </row>
    <row r="13" spans="1:10" ht="13.5" customHeight="1" x14ac:dyDescent="0.2">
      <c r="A13" s="392" t="s">
        <v>863</v>
      </c>
      <c r="B13" s="389"/>
      <c r="C13" s="389"/>
      <c r="D13" s="389"/>
      <c r="E13" s="389"/>
      <c r="F13" s="388"/>
      <c r="G13" s="387"/>
      <c r="H13" s="387"/>
      <c r="I13" s="388"/>
      <c r="J13" s="421"/>
    </row>
    <row r="14" spans="1:10" ht="30" customHeight="1" x14ac:dyDescent="0.2">
      <c r="A14" s="481" t="s">
        <v>864</v>
      </c>
      <c r="B14" s="389"/>
      <c r="C14" s="390"/>
      <c r="D14" s="389" t="s">
        <v>312</v>
      </c>
      <c r="E14" s="389">
        <v>8328800</v>
      </c>
      <c r="F14" s="388"/>
      <c r="G14" s="387"/>
      <c r="H14" s="387" t="s">
        <v>312</v>
      </c>
      <c r="I14" s="388">
        <v>8329050</v>
      </c>
      <c r="J14" s="421"/>
    </row>
    <row r="15" spans="1:10" ht="30" customHeight="1" x14ac:dyDescent="0.2">
      <c r="A15" s="481" t="s">
        <v>865</v>
      </c>
      <c r="B15" s="389"/>
      <c r="C15" s="390"/>
      <c r="D15" s="389"/>
      <c r="E15" s="389"/>
      <c r="F15" s="388"/>
      <c r="G15" s="387"/>
      <c r="H15" s="387"/>
      <c r="I15" s="388">
        <v>-8329050</v>
      </c>
      <c r="J15" s="421"/>
    </row>
    <row r="16" spans="1:10" ht="30" customHeight="1" x14ac:dyDescent="0.2">
      <c r="A16" s="481" t="s">
        <v>866</v>
      </c>
      <c r="B16" s="389"/>
      <c r="C16" s="390"/>
      <c r="D16" s="389"/>
      <c r="E16" s="389"/>
      <c r="F16" s="388"/>
      <c r="G16" s="387"/>
      <c r="H16" s="387"/>
      <c r="I16" s="388">
        <f>I14+I15</f>
        <v>0</v>
      </c>
      <c r="J16" s="421"/>
    </row>
    <row r="17" spans="1:10" ht="16.5" customHeight="1" x14ac:dyDescent="0.2">
      <c r="A17" s="392" t="s">
        <v>867</v>
      </c>
      <c r="B17" s="389"/>
      <c r="C17" s="389"/>
      <c r="D17" s="483" t="s">
        <v>313</v>
      </c>
      <c r="E17" s="389">
        <v>18272000</v>
      </c>
      <c r="F17" s="388"/>
      <c r="G17" s="387"/>
      <c r="H17" s="387" t="s">
        <v>314</v>
      </c>
      <c r="I17" s="388">
        <v>18304000</v>
      </c>
      <c r="J17" s="421"/>
    </row>
    <row r="18" spans="1:10" ht="16.5" customHeight="1" x14ac:dyDescent="0.2">
      <c r="A18" s="392" t="s">
        <v>865</v>
      </c>
      <c r="B18" s="389"/>
      <c r="C18" s="389"/>
      <c r="D18" s="483"/>
      <c r="E18" s="389"/>
      <c r="F18" s="388"/>
      <c r="G18" s="387"/>
      <c r="H18" s="387"/>
      <c r="I18" s="388">
        <v>-18304000</v>
      </c>
      <c r="J18" s="421"/>
    </row>
    <row r="19" spans="1:10" ht="16.5" customHeight="1" x14ac:dyDescent="0.2">
      <c r="A19" s="392" t="s">
        <v>868</v>
      </c>
      <c r="B19" s="389"/>
      <c r="C19" s="389"/>
      <c r="D19" s="483"/>
      <c r="E19" s="389"/>
      <c r="F19" s="388"/>
      <c r="G19" s="387"/>
      <c r="H19" s="387"/>
      <c r="I19" s="388">
        <f>I17+I18</f>
        <v>0</v>
      </c>
      <c r="J19" s="421"/>
    </row>
    <row r="20" spans="1:10" ht="13.5" customHeight="1" x14ac:dyDescent="0.2">
      <c r="A20" s="392" t="s">
        <v>869</v>
      </c>
      <c r="B20" s="484"/>
      <c r="C20" s="484" t="s">
        <v>870</v>
      </c>
      <c r="D20" s="485" t="s">
        <v>722</v>
      </c>
      <c r="E20" s="484">
        <v>1355022</v>
      </c>
      <c r="F20" s="441"/>
      <c r="G20" s="484"/>
      <c r="H20" s="486" t="s">
        <v>722</v>
      </c>
      <c r="I20" s="388">
        <v>1355022</v>
      </c>
      <c r="J20" s="421"/>
    </row>
    <row r="21" spans="1:10" ht="13.5" customHeight="1" x14ac:dyDescent="0.2">
      <c r="A21" s="392" t="s">
        <v>871</v>
      </c>
      <c r="B21" s="484"/>
      <c r="C21" s="484"/>
      <c r="D21" s="485"/>
      <c r="E21" s="484"/>
      <c r="F21" s="441"/>
      <c r="G21" s="484"/>
      <c r="H21" s="486"/>
      <c r="I21" s="388">
        <v>-1355022</v>
      </c>
      <c r="J21" s="421"/>
    </row>
    <row r="22" spans="1:10" ht="13.5" customHeight="1" x14ac:dyDescent="0.2">
      <c r="A22" s="392" t="s">
        <v>872</v>
      </c>
      <c r="B22" s="484"/>
      <c r="C22" s="484"/>
      <c r="D22" s="485"/>
      <c r="E22" s="484"/>
      <c r="F22" s="441"/>
      <c r="G22" s="484"/>
      <c r="H22" s="486"/>
      <c r="I22" s="388">
        <f>I20+I21</f>
        <v>0</v>
      </c>
      <c r="J22" s="421"/>
    </row>
    <row r="23" spans="1:10" ht="13.5" customHeight="1" x14ac:dyDescent="0.2">
      <c r="A23" s="392" t="s">
        <v>873</v>
      </c>
      <c r="B23" s="389"/>
      <c r="C23" s="390"/>
      <c r="D23" s="483" t="s">
        <v>723</v>
      </c>
      <c r="E23" s="389">
        <v>6369620</v>
      </c>
      <c r="F23" s="388"/>
      <c r="G23" s="387"/>
      <c r="H23" s="483" t="s">
        <v>723</v>
      </c>
      <c r="I23" s="388">
        <v>6369620</v>
      </c>
      <c r="J23" s="421"/>
    </row>
    <row r="24" spans="1:10" ht="13.5" customHeight="1" x14ac:dyDescent="0.2">
      <c r="A24" s="392" t="s">
        <v>871</v>
      </c>
      <c r="B24" s="389"/>
      <c r="C24" s="390"/>
      <c r="D24" s="483"/>
      <c r="E24" s="389"/>
      <c r="F24" s="388"/>
      <c r="G24" s="387"/>
      <c r="H24" s="483"/>
      <c r="I24" s="388">
        <v>-6369620</v>
      </c>
      <c r="J24" s="421"/>
    </row>
    <row r="25" spans="1:10" ht="13.5" customHeight="1" x14ac:dyDescent="0.2">
      <c r="A25" s="392" t="s">
        <v>874</v>
      </c>
      <c r="B25" s="389"/>
      <c r="C25" s="390"/>
      <c r="D25" s="483"/>
      <c r="E25" s="389"/>
      <c r="F25" s="388"/>
      <c r="G25" s="387"/>
      <c r="H25" s="483"/>
      <c r="I25" s="388">
        <f>I23+I24</f>
        <v>0</v>
      </c>
      <c r="J25" s="421"/>
    </row>
    <row r="26" spans="1:10" ht="13.5" customHeight="1" x14ac:dyDescent="0.2">
      <c r="A26" s="392" t="s">
        <v>875</v>
      </c>
      <c r="B26" s="389">
        <v>4865</v>
      </c>
      <c r="C26" s="389"/>
      <c r="D26" s="389">
        <v>2700</v>
      </c>
      <c r="E26" s="389">
        <f>B26*D26</f>
        <v>13135500</v>
      </c>
      <c r="F26" s="388">
        <v>4837</v>
      </c>
      <c r="G26" s="387"/>
      <c r="H26" s="389">
        <v>2700</v>
      </c>
      <c r="I26" s="388">
        <f>F26*H26</f>
        <v>13059900</v>
      </c>
      <c r="J26" s="421"/>
    </row>
    <row r="27" spans="1:10" ht="13.5" customHeight="1" x14ac:dyDescent="0.2">
      <c r="A27" s="392" t="s">
        <v>876</v>
      </c>
      <c r="B27" s="389"/>
      <c r="C27" s="389"/>
      <c r="D27" s="389"/>
      <c r="E27" s="389">
        <v>-13135500</v>
      </c>
      <c r="F27" s="388"/>
      <c r="G27" s="387"/>
      <c r="H27" s="387"/>
      <c r="I27" s="388">
        <v>-13059900</v>
      </c>
      <c r="J27" s="421"/>
    </row>
    <row r="28" spans="1:10" ht="13.5" customHeight="1" x14ac:dyDescent="0.2">
      <c r="A28" s="392" t="s">
        <v>877</v>
      </c>
      <c r="B28" s="389"/>
      <c r="C28" s="389"/>
      <c r="D28" s="389"/>
      <c r="E28" s="389">
        <f>E26+E27</f>
        <v>0</v>
      </c>
      <c r="F28" s="388"/>
      <c r="G28" s="387"/>
      <c r="H28" s="387"/>
      <c r="I28" s="388">
        <f>I26+I27</f>
        <v>0</v>
      </c>
      <c r="J28" s="421"/>
    </row>
    <row r="29" spans="1:10" ht="13.5" customHeight="1" x14ac:dyDescent="0.2">
      <c r="A29" s="392" t="s">
        <v>878</v>
      </c>
      <c r="B29" s="484">
        <v>10</v>
      </c>
      <c r="C29" s="484"/>
      <c r="D29" s="484" t="s">
        <v>315</v>
      </c>
      <c r="E29" s="487">
        <v>25500</v>
      </c>
      <c r="F29" s="388">
        <v>11</v>
      </c>
      <c r="G29" s="387"/>
      <c r="H29" s="389" t="s">
        <v>315</v>
      </c>
      <c r="I29" s="388">
        <v>28050</v>
      </c>
      <c r="J29" s="421"/>
    </row>
    <row r="30" spans="1:10" ht="13.5" customHeight="1" x14ac:dyDescent="0.2">
      <c r="A30" s="392" t="s">
        <v>879</v>
      </c>
      <c r="B30" s="484"/>
      <c r="C30" s="484"/>
      <c r="D30" s="484"/>
      <c r="E30" s="487">
        <v>-25500</v>
      </c>
      <c r="F30" s="388"/>
      <c r="G30" s="387"/>
      <c r="H30" s="387"/>
      <c r="I30" s="388">
        <v>-28050</v>
      </c>
      <c r="J30" s="421"/>
    </row>
    <row r="31" spans="1:10" ht="13.5" customHeight="1" x14ac:dyDescent="0.2">
      <c r="A31" s="392" t="s">
        <v>880</v>
      </c>
      <c r="B31" s="484"/>
      <c r="C31" s="484"/>
      <c r="D31" s="484"/>
      <c r="E31" s="487">
        <v>0</v>
      </c>
      <c r="F31" s="388"/>
      <c r="G31" s="387"/>
      <c r="H31" s="387"/>
      <c r="I31" s="388">
        <f>I29+I30</f>
        <v>0</v>
      </c>
      <c r="J31" s="421"/>
    </row>
    <row r="32" spans="1:10" ht="13.5" customHeight="1" x14ac:dyDescent="0.2">
      <c r="A32" s="392" t="s">
        <v>881</v>
      </c>
      <c r="B32" s="389"/>
      <c r="C32" s="389">
        <v>487729000</v>
      </c>
      <c r="D32" s="390">
        <v>1.55</v>
      </c>
      <c r="E32" s="389">
        <f>C32*D32</f>
        <v>755979950</v>
      </c>
      <c r="F32" s="388"/>
      <c r="G32" s="532">
        <v>482296000</v>
      </c>
      <c r="H32" s="533">
        <v>1.55</v>
      </c>
      <c r="I32" s="532">
        <f>G32*H32</f>
        <v>747558800</v>
      </c>
      <c r="J32" s="421"/>
    </row>
    <row r="33" spans="1:11" ht="13.5" customHeight="1" x14ac:dyDescent="0.2">
      <c r="A33" s="392" t="s">
        <v>876</v>
      </c>
      <c r="B33" s="389"/>
      <c r="C33" s="389"/>
      <c r="D33" s="393"/>
      <c r="E33" s="389">
        <v>-98054262</v>
      </c>
      <c r="F33" s="388"/>
      <c r="G33" s="387"/>
      <c r="H33" s="387"/>
      <c r="I33" s="388">
        <v>-69343482</v>
      </c>
      <c r="J33" s="421"/>
    </row>
    <row r="34" spans="1:11" ht="13.5" customHeight="1" x14ac:dyDescent="0.2">
      <c r="A34" s="392" t="s">
        <v>882</v>
      </c>
      <c r="B34" s="389"/>
      <c r="C34" s="389"/>
      <c r="D34" s="393"/>
      <c r="E34" s="389">
        <f>E32+E33</f>
        <v>657925688</v>
      </c>
      <c r="F34" s="388"/>
      <c r="G34" s="387"/>
      <c r="H34" s="387"/>
      <c r="I34" s="388">
        <f>I32+I33</f>
        <v>678215318</v>
      </c>
      <c r="J34" s="421"/>
    </row>
    <row r="35" spans="1:11" ht="13.5" customHeight="1" x14ac:dyDescent="0.2">
      <c r="A35" s="488" t="s">
        <v>883</v>
      </c>
      <c r="B35" s="484"/>
      <c r="C35" s="484"/>
      <c r="D35" s="484"/>
      <c r="E35" s="484">
        <v>0</v>
      </c>
      <c r="F35" s="441"/>
      <c r="G35" s="489"/>
      <c r="H35" s="489"/>
      <c r="I35" s="441">
        <v>0</v>
      </c>
      <c r="J35" s="421"/>
    </row>
    <row r="36" spans="1:11" ht="13.5" customHeight="1" x14ac:dyDescent="0.2">
      <c r="A36" s="488"/>
      <c r="B36" s="484"/>
      <c r="C36" s="484"/>
      <c r="D36" s="484"/>
      <c r="E36" s="484"/>
      <c r="F36" s="441"/>
      <c r="G36" s="489"/>
      <c r="H36" s="489"/>
      <c r="I36" s="441"/>
      <c r="J36" s="421"/>
      <c r="K36" s="490"/>
    </row>
    <row r="37" spans="1:11" ht="24.95" customHeight="1" x14ac:dyDescent="0.2">
      <c r="A37" s="491" t="s">
        <v>84</v>
      </c>
      <c r="B37" s="484"/>
      <c r="C37" s="484"/>
      <c r="D37" s="484"/>
      <c r="E37" s="484"/>
      <c r="F37" s="441"/>
      <c r="G37" s="489"/>
      <c r="H37" s="489"/>
      <c r="I37" s="441"/>
      <c r="J37" s="421"/>
    </row>
    <row r="38" spans="1:11" ht="15" customHeight="1" x14ac:dyDescent="0.2">
      <c r="A38" s="481" t="s">
        <v>884</v>
      </c>
      <c r="B38" s="484"/>
      <c r="C38" s="484"/>
      <c r="D38" s="484"/>
      <c r="E38" s="484"/>
      <c r="F38" s="441"/>
      <c r="G38" s="489"/>
      <c r="H38" s="489"/>
      <c r="I38" s="441"/>
      <c r="J38" s="421"/>
    </row>
    <row r="39" spans="1:11" ht="24" customHeight="1" x14ac:dyDescent="0.2">
      <c r="A39" s="481" t="s">
        <v>885</v>
      </c>
      <c r="B39" s="389"/>
      <c r="C39" s="390">
        <v>13.1</v>
      </c>
      <c r="D39" s="389">
        <v>4152000</v>
      </c>
      <c r="E39" s="389">
        <f>C39*D39*8/12</f>
        <v>36260800</v>
      </c>
      <c r="F39" s="388"/>
      <c r="G39" s="387">
        <v>13.3</v>
      </c>
      <c r="H39" s="388">
        <v>4308000</v>
      </c>
      <c r="I39" s="388">
        <f>G39*8/12*4308000</f>
        <v>38197600</v>
      </c>
      <c r="J39" s="421"/>
    </row>
    <row r="40" spans="1:11" ht="24" customHeight="1" x14ac:dyDescent="0.2">
      <c r="A40" s="481" t="s">
        <v>886</v>
      </c>
      <c r="B40" s="389"/>
      <c r="C40" s="390">
        <v>13.1</v>
      </c>
      <c r="D40" s="391">
        <v>4152000</v>
      </c>
      <c r="E40" s="389">
        <f>C40*D40*4/12</f>
        <v>18130400</v>
      </c>
      <c r="F40" s="388"/>
      <c r="G40" s="492">
        <v>13.4</v>
      </c>
      <c r="H40" s="388">
        <v>4308000</v>
      </c>
      <c r="I40" s="388">
        <f>G40*4/12*H40</f>
        <v>19242400</v>
      </c>
      <c r="J40" s="421"/>
    </row>
    <row r="41" spans="1:11" ht="24.95" customHeight="1" x14ac:dyDescent="0.2">
      <c r="A41" s="481" t="s">
        <v>952</v>
      </c>
      <c r="B41" s="484"/>
      <c r="C41" s="493">
        <v>13.1</v>
      </c>
      <c r="D41" s="494">
        <v>35000</v>
      </c>
      <c r="E41" s="484">
        <f>C41*D41</f>
        <v>458500</v>
      </c>
      <c r="F41" s="441"/>
      <c r="G41" s="492">
        <v>13.4</v>
      </c>
      <c r="H41" s="388">
        <v>35000</v>
      </c>
      <c r="I41" s="388">
        <f>G41*H41</f>
        <v>469000</v>
      </c>
      <c r="J41" s="421"/>
    </row>
    <row r="42" spans="1:11" ht="24.95" customHeight="1" x14ac:dyDescent="0.2">
      <c r="A42" s="481" t="s">
        <v>887</v>
      </c>
      <c r="B42" s="484"/>
      <c r="C42" s="484">
        <v>10</v>
      </c>
      <c r="D42" s="484">
        <v>1800000</v>
      </c>
      <c r="E42" s="487">
        <f>C42*D42*8/12</f>
        <v>12000000</v>
      </c>
      <c r="F42" s="441"/>
      <c r="G42" s="492">
        <v>9</v>
      </c>
      <c r="H42" s="388">
        <v>1800000</v>
      </c>
      <c r="I42" s="388">
        <f>G42*H42*8/12</f>
        <v>10800000</v>
      </c>
      <c r="J42" s="421"/>
    </row>
    <row r="43" spans="1:11" ht="35.25" customHeight="1" x14ac:dyDescent="0.2">
      <c r="A43" s="495" t="s">
        <v>888</v>
      </c>
      <c r="B43" s="484"/>
      <c r="C43" s="484"/>
      <c r="D43" s="484"/>
      <c r="E43" s="487"/>
      <c r="F43" s="441"/>
      <c r="G43" s="492">
        <v>1</v>
      </c>
      <c r="H43" s="388">
        <v>4308000</v>
      </c>
      <c r="I43" s="388">
        <f>G43*H43*8/12</f>
        <v>2872000</v>
      </c>
      <c r="J43" s="421"/>
    </row>
    <row r="44" spans="1:11" ht="35.25" customHeight="1" x14ac:dyDescent="0.2">
      <c r="A44" s="481" t="s">
        <v>889</v>
      </c>
      <c r="B44" s="484"/>
      <c r="C44" s="484">
        <v>10</v>
      </c>
      <c r="D44" s="484">
        <v>1800000</v>
      </c>
      <c r="E44" s="484">
        <f>C44*D44*4/12</f>
        <v>6000000</v>
      </c>
      <c r="F44" s="441"/>
      <c r="G44" s="492">
        <v>9</v>
      </c>
      <c r="H44" s="388">
        <v>1800000</v>
      </c>
      <c r="I44" s="388">
        <f>G44*H44*4/12</f>
        <v>5400000</v>
      </c>
      <c r="J44" s="422"/>
    </row>
    <row r="45" spans="1:11" ht="35.25" customHeight="1" x14ac:dyDescent="0.2">
      <c r="A45" s="481" t="s">
        <v>890</v>
      </c>
      <c r="B45" s="484"/>
      <c r="C45" s="484"/>
      <c r="D45" s="484"/>
      <c r="E45" s="484"/>
      <c r="F45" s="441"/>
      <c r="G45" s="492">
        <v>1</v>
      </c>
      <c r="H45" s="388">
        <v>4308000</v>
      </c>
      <c r="I45" s="388">
        <f>G45*H45*4/12</f>
        <v>1436000</v>
      </c>
      <c r="J45" s="422"/>
    </row>
    <row r="46" spans="1:11" ht="13.5" customHeight="1" x14ac:dyDescent="0.2">
      <c r="A46" s="481" t="s">
        <v>891</v>
      </c>
      <c r="B46" s="484"/>
      <c r="C46" s="484"/>
      <c r="D46" s="484"/>
      <c r="E46" s="484"/>
      <c r="F46" s="441"/>
      <c r="G46" s="492">
        <v>1</v>
      </c>
      <c r="H46" s="388">
        <v>35000</v>
      </c>
      <c r="I46" s="388">
        <f>G46*H46</f>
        <v>35000</v>
      </c>
      <c r="J46" s="422"/>
    </row>
    <row r="47" spans="1:11" ht="13.5" customHeight="1" x14ac:dyDescent="0.2">
      <c r="A47" s="392" t="s">
        <v>892</v>
      </c>
      <c r="B47" s="484"/>
      <c r="C47" s="484"/>
      <c r="D47" s="484"/>
      <c r="E47" s="484"/>
      <c r="F47" s="441"/>
      <c r="G47" s="489"/>
      <c r="H47" s="489"/>
      <c r="I47" s="441"/>
      <c r="J47" s="421"/>
    </row>
    <row r="48" spans="1:11" ht="13.5" customHeight="1" x14ac:dyDescent="0.2">
      <c r="A48" s="481" t="s">
        <v>893</v>
      </c>
      <c r="B48" s="389"/>
      <c r="C48" s="389"/>
      <c r="D48" s="389"/>
      <c r="E48" s="389"/>
      <c r="F48" s="388"/>
      <c r="G48" s="388">
        <v>0</v>
      </c>
      <c r="H48" s="389">
        <v>80000</v>
      </c>
      <c r="I48" s="388">
        <f>G48*H48*8/12</f>
        <v>0</v>
      </c>
      <c r="J48" s="421"/>
    </row>
    <row r="49" spans="1:11" ht="13.5" customHeight="1" x14ac:dyDescent="0.2">
      <c r="A49" s="481" t="s">
        <v>894</v>
      </c>
      <c r="B49" s="389"/>
      <c r="C49" s="389">
        <v>142</v>
      </c>
      <c r="D49" s="389">
        <v>70000</v>
      </c>
      <c r="E49" s="389">
        <f>C49*D49*8/12</f>
        <v>6626666.666666667</v>
      </c>
      <c r="F49" s="388"/>
      <c r="G49" s="388">
        <v>144</v>
      </c>
      <c r="H49" s="389">
        <v>80000</v>
      </c>
      <c r="I49" s="388">
        <f>G49*H49*8/12</f>
        <v>7680000</v>
      </c>
      <c r="J49" s="421"/>
    </row>
    <row r="50" spans="1:11" ht="13.5" customHeight="1" x14ac:dyDescent="0.2">
      <c r="A50" s="481" t="s">
        <v>895</v>
      </c>
      <c r="B50" s="484"/>
      <c r="C50" s="484"/>
      <c r="D50" s="484"/>
      <c r="E50" s="484"/>
      <c r="F50" s="441"/>
      <c r="G50" s="388">
        <v>0</v>
      </c>
      <c r="H50" s="389">
        <v>80000</v>
      </c>
      <c r="I50" s="388">
        <f>G50*H50*8/12</f>
        <v>0</v>
      </c>
      <c r="J50" s="421"/>
    </row>
    <row r="51" spans="1:11" ht="39.75" customHeight="1" x14ac:dyDescent="0.2">
      <c r="A51" s="481" t="s">
        <v>896</v>
      </c>
      <c r="B51" s="484"/>
      <c r="C51" s="484">
        <v>142</v>
      </c>
      <c r="D51" s="484">
        <v>70000</v>
      </c>
      <c r="E51" s="484">
        <f>C51*D51*4/12</f>
        <v>3313333.3333333335</v>
      </c>
      <c r="F51" s="441"/>
      <c r="G51" s="388">
        <v>144</v>
      </c>
      <c r="H51" s="389">
        <v>80000</v>
      </c>
      <c r="I51" s="388">
        <f>G51*H51*4/12</f>
        <v>3840000</v>
      </c>
      <c r="J51" s="421"/>
    </row>
    <row r="52" spans="1:11" ht="50.25" customHeight="1" x14ac:dyDescent="0.2">
      <c r="A52" s="392" t="s">
        <v>897</v>
      </c>
      <c r="B52" s="484"/>
      <c r="C52" s="484"/>
      <c r="D52" s="484"/>
      <c r="E52" s="484">
        <v>0</v>
      </c>
      <c r="F52" s="441"/>
      <c r="G52" s="489"/>
      <c r="H52" s="489"/>
      <c r="I52" s="388">
        <v>740000</v>
      </c>
      <c r="J52" s="424"/>
    </row>
    <row r="53" spans="1:11" ht="13.5" customHeight="1" x14ac:dyDescent="0.2">
      <c r="A53" s="392" t="s">
        <v>898</v>
      </c>
      <c r="B53" s="389"/>
      <c r="C53" s="389"/>
      <c r="D53" s="389"/>
      <c r="E53" s="389"/>
      <c r="F53" s="388"/>
      <c r="G53" s="387"/>
      <c r="H53" s="387"/>
      <c r="I53" s="388"/>
      <c r="J53" s="421"/>
    </row>
    <row r="54" spans="1:11" ht="13.5" customHeight="1" x14ac:dyDescent="0.2">
      <c r="A54" s="481" t="s">
        <v>899</v>
      </c>
      <c r="B54" s="389"/>
      <c r="C54" s="389">
        <v>5</v>
      </c>
      <c r="D54" s="496" t="s">
        <v>316</v>
      </c>
      <c r="E54" s="389">
        <v>1760000</v>
      </c>
      <c r="F54" s="388"/>
      <c r="G54" s="388">
        <v>5</v>
      </c>
      <c r="H54" s="388">
        <v>384000</v>
      </c>
      <c r="I54" s="388">
        <f>G54*H54</f>
        <v>1920000</v>
      </c>
      <c r="J54" s="421"/>
    </row>
    <row r="55" spans="1:11" ht="13.5" customHeight="1" x14ac:dyDescent="0.2">
      <c r="A55" s="481" t="s">
        <v>900</v>
      </c>
      <c r="B55" s="484"/>
      <c r="C55" s="484"/>
      <c r="D55" s="484"/>
      <c r="E55" s="484"/>
      <c r="F55" s="441"/>
      <c r="G55" s="388">
        <v>1</v>
      </c>
      <c r="H55" s="388">
        <v>352000</v>
      </c>
      <c r="I55" s="388">
        <f>G55*H55</f>
        <v>352000</v>
      </c>
      <c r="J55" s="421"/>
    </row>
    <row r="56" spans="1:11" ht="12.75" customHeight="1" x14ac:dyDescent="0.2">
      <c r="A56" s="488"/>
      <c r="B56" s="484"/>
      <c r="C56" s="484"/>
      <c r="D56" s="484"/>
      <c r="E56" s="484"/>
      <c r="F56" s="441"/>
      <c r="G56" s="489"/>
      <c r="H56" s="489"/>
      <c r="I56" s="441"/>
      <c r="J56" s="421"/>
      <c r="K56" s="490"/>
    </row>
    <row r="57" spans="1:11" ht="13.5" customHeight="1" x14ac:dyDescent="0.2">
      <c r="A57" s="491" t="s">
        <v>85</v>
      </c>
      <c r="B57" s="484"/>
      <c r="C57" s="484"/>
      <c r="D57" s="484"/>
      <c r="E57" s="484"/>
      <c r="F57" s="441"/>
      <c r="G57" s="489"/>
      <c r="H57" s="489"/>
      <c r="I57" s="441"/>
      <c r="J57" s="421"/>
    </row>
    <row r="58" spans="1:11" ht="33.75" customHeight="1" x14ac:dyDescent="0.2">
      <c r="A58" s="488" t="s">
        <v>901</v>
      </c>
      <c r="B58" s="484"/>
      <c r="C58" s="484"/>
      <c r="D58" s="484"/>
      <c r="E58" s="484">
        <v>0</v>
      </c>
      <c r="F58" s="441"/>
      <c r="G58" s="489"/>
      <c r="H58" s="489"/>
      <c r="I58" s="441">
        <v>0</v>
      </c>
      <c r="J58" s="423"/>
    </row>
    <row r="59" spans="1:11" ht="27" customHeight="1" x14ac:dyDescent="0.2">
      <c r="A59" s="495" t="s">
        <v>902</v>
      </c>
      <c r="B59" s="484"/>
      <c r="C59" s="484"/>
      <c r="D59" s="484"/>
      <c r="E59" s="487">
        <v>0</v>
      </c>
      <c r="F59" s="441"/>
      <c r="G59" s="489"/>
      <c r="H59" s="489"/>
      <c r="I59" s="441">
        <v>0</v>
      </c>
      <c r="J59" s="421"/>
    </row>
    <row r="60" spans="1:11" ht="13.5" customHeight="1" x14ac:dyDescent="0.2">
      <c r="A60" s="392" t="s">
        <v>903</v>
      </c>
      <c r="B60" s="484"/>
      <c r="C60" s="484"/>
      <c r="D60" s="484"/>
      <c r="E60" s="484"/>
      <c r="F60" s="441"/>
      <c r="G60" s="489"/>
      <c r="H60" s="489"/>
      <c r="I60" s="441"/>
      <c r="J60" s="421"/>
    </row>
    <row r="61" spans="1:11" ht="13.5" customHeight="1" x14ac:dyDescent="0.2">
      <c r="A61" s="392" t="s">
        <v>904</v>
      </c>
      <c r="B61" s="484"/>
      <c r="C61" s="484"/>
      <c r="D61" s="484"/>
      <c r="E61" s="484"/>
      <c r="F61" s="441"/>
      <c r="G61" s="489"/>
      <c r="H61" s="489"/>
      <c r="I61" s="441"/>
      <c r="J61" s="421"/>
    </row>
    <row r="62" spans="1:11" ht="13.5" customHeight="1" x14ac:dyDescent="0.2">
      <c r="A62" s="392" t="s">
        <v>905</v>
      </c>
      <c r="B62" s="484"/>
      <c r="C62" s="484"/>
      <c r="D62" s="484"/>
      <c r="E62" s="484"/>
      <c r="F62" s="441"/>
      <c r="G62" s="489"/>
      <c r="H62" s="489"/>
      <c r="I62" s="441"/>
      <c r="J62" s="421"/>
    </row>
    <row r="63" spans="1:11" ht="28.5" customHeight="1" x14ac:dyDescent="0.2">
      <c r="A63" s="481" t="s">
        <v>906</v>
      </c>
      <c r="B63" s="488"/>
      <c r="C63" s="497"/>
      <c r="D63" s="484"/>
      <c r="E63" s="484">
        <f>C63*D63/2</f>
        <v>0</v>
      </c>
      <c r="F63" s="389">
        <v>7916</v>
      </c>
      <c r="G63" s="498"/>
      <c r="H63" s="489"/>
      <c r="I63" s="441"/>
      <c r="J63" s="423"/>
    </row>
    <row r="64" spans="1:11" ht="24.95" customHeight="1" x14ac:dyDescent="0.2">
      <c r="A64" s="495" t="s">
        <v>907</v>
      </c>
      <c r="B64" s="484"/>
      <c r="C64" s="488"/>
      <c r="D64" s="484"/>
      <c r="E64" s="484"/>
      <c r="F64" s="441"/>
      <c r="G64" s="394">
        <v>0</v>
      </c>
      <c r="H64" s="489"/>
      <c r="I64" s="441"/>
      <c r="J64" s="423"/>
    </row>
    <row r="65" spans="1:10" ht="24.95" customHeight="1" x14ac:dyDescent="0.2">
      <c r="A65" s="488" t="s">
        <v>908</v>
      </c>
      <c r="B65" s="484"/>
      <c r="C65" s="488"/>
      <c r="D65" s="484"/>
      <c r="E65" s="484"/>
      <c r="F65" s="441"/>
      <c r="G65" s="393">
        <v>1</v>
      </c>
      <c r="H65" s="489"/>
      <c r="I65" s="441"/>
      <c r="J65" s="421"/>
    </row>
    <row r="66" spans="1:10" ht="24.95" customHeight="1" x14ac:dyDescent="0.2">
      <c r="A66" s="392" t="s">
        <v>909</v>
      </c>
      <c r="B66" s="484"/>
      <c r="C66" s="499">
        <v>0.97299999999999998</v>
      </c>
      <c r="D66" s="484">
        <v>3000000</v>
      </c>
      <c r="E66" s="484"/>
      <c r="F66" s="441"/>
      <c r="G66" s="393">
        <v>2</v>
      </c>
      <c r="H66" s="389">
        <v>3000000</v>
      </c>
      <c r="I66" s="388">
        <f>(2*1+0)*3000000</f>
        <v>6000000</v>
      </c>
      <c r="J66" s="421"/>
    </row>
    <row r="67" spans="1:10" ht="13.5" customHeight="1" x14ac:dyDescent="0.2">
      <c r="A67" s="392" t="s">
        <v>910</v>
      </c>
      <c r="B67" s="500"/>
      <c r="C67" s="484">
        <v>80</v>
      </c>
      <c r="D67" s="484">
        <v>55360</v>
      </c>
      <c r="E67" s="484">
        <f>C67*D67</f>
        <v>4428800</v>
      </c>
      <c r="F67" s="441"/>
      <c r="G67" s="389">
        <v>80</v>
      </c>
      <c r="H67" s="389">
        <v>55360</v>
      </c>
      <c r="I67" s="389">
        <f>G67*H67</f>
        <v>4428800</v>
      </c>
      <c r="J67" s="421"/>
    </row>
    <row r="68" spans="1:10" ht="13.5" customHeight="1" x14ac:dyDescent="0.2">
      <c r="A68" s="392" t="s">
        <v>911</v>
      </c>
      <c r="B68" s="500"/>
      <c r="C68" s="484">
        <v>55</v>
      </c>
      <c r="D68" s="484">
        <v>145000</v>
      </c>
      <c r="E68" s="484">
        <f>C68*D68</f>
        <v>7975000</v>
      </c>
      <c r="F68" s="441"/>
      <c r="G68" s="389">
        <v>50</v>
      </c>
      <c r="H68" s="389">
        <v>145000</v>
      </c>
      <c r="I68" s="389">
        <f>G68*H68</f>
        <v>7250000</v>
      </c>
      <c r="J68" s="421"/>
    </row>
    <row r="69" spans="1:10" ht="13.5" customHeight="1" x14ac:dyDescent="0.2">
      <c r="A69" s="495" t="s">
        <v>912</v>
      </c>
      <c r="B69" s="501"/>
      <c r="C69" s="484">
        <v>23</v>
      </c>
      <c r="D69" s="484">
        <v>109000</v>
      </c>
      <c r="E69" s="484">
        <f>C69*D69</f>
        <v>2507000</v>
      </c>
      <c r="F69" s="441"/>
      <c r="G69" s="389">
        <v>23</v>
      </c>
      <c r="H69" s="389">
        <v>109000</v>
      </c>
      <c r="I69" s="389">
        <f>G69*H69</f>
        <v>2507000</v>
      </c>
      <c r="J69" s="421"/>
    </row>
    <row r="70" spans="1:10" ht="15" customHeight="1" x14ac:dyDescent="0.2">
      <c r="A70" s="481" t="s">
        <v>913</v>
      </c>
      <c r="B70" s="501"/>
      <c r="C70" s="484"/>
      <c r="D70" s="484"/>
      <c r="E70" s="484"/>
      <c r="F70" s="441"/>
      <c r="G70" s="489"/>
      <c r="H70" s="489"/>
      <c r="I70" s="441"/>
      <c r="J70" s="421"/>
    </row>
    <row r="71" spans="1:10" ht="13.5" customHeight="1" x14ac:dyDescent="0.2">
      <c r="A71" s="488" t="s">
        <v>914</v>
      </c>
      <c r="B71" s="488"/>
      <c r="C71" s="488"/>
      <c r="D71" s="441"/>
      <c r="E71" s="484"/>
      <c r="F71" s="441"/>
      <c r="G71" s="489"/>
      <c r="H71" s="489"/>
      <c r="I71" s="441"/>
      <c r="J71" s="421"/>
    </row>
    <row r="72" spans="1:10" ht="13.5" customHeight="1" x14ac:dyDescent="0.2">
      <c r="A72" s="392" t="s">
        <v>915</v>
      </c>
      <c r="B72" s="502"/>
      <c r="C72" s="484">
        <v>13</v>
      </c>
      <c r="D72" s="484">
        <v>494100</v>
      </c>
      <c r="E72" s="484">
        <f>C72*D72</f>
        <v>6423300</v>
      </c>
      <c r="F72" s="441"/>
      <c r="G72" s="389">
        <v>15</v>
      </c>
      <c r="H72" s="389">
        <v>494100</v>
      </c>
      <c r="I72" s="389">
        <f>G72*H72</f>
        <v>7411500</v>
      </c>
      <c r="J72" s="421"/>
    </row>
    <row r="73" spans="1:10" ht="13.5" customHeight="1" x14ac:dyDescent="0.2">
      <c r="A73" s="481" t="s">
        <v>916</v>
      </c>
      <c r="B73" s="500"/>
      <c r="C73" s="484"/>
      <c r="D73" s="484"/>
      <c r="E73" s="484"/>
      <c r="F73" s="441"/>
      <c r="G73" s="489"/>
      <c r="H73" s="489"/>
      <c r="I73" s="441"/>
      <c r="J73" s="421"/>
    </row>
    <row r="74" spans="1:10" ht="13.5" customHeight="1" x14ac:dyDescent="0.2">
      <c r="A74" s="481" t="s">
        <v>917</v>
      </c>
      <c r="B74" s="500"/>
      <c r="C74" s="484">
        <v>15</v>
      </c>
      <c r="D74" s="484">
        <v>2606040</v>
      </c>
      <c r="E74" s="484">
        <f>C74*D74</f>
        <v>39090600</v>
      </c>
      <c r="F74" s="441"/>
      <c r="G74" s="389">
        <v>15</v>
      </c>
      <c r="H74" s="389">
        <v>2606040</v>
      </c>
      <c r="I74" s="389">
        <f>G74*H74</f>
        <v>39090600</v>
      </c>
      <c r="J74" s="421"/>
    </row>
    <row r="75" spans="1:10" ht="24.95" customHeight="1" x14ac:dyDescent="0.2">
      <c r="A75" s="392" t="s">
        <v>918</v>
      </c>
      <c r="B75" s="500"/>
      <c r="C75" s="484"/>
      <c r="D75" s="484"/>
      <c r="E75" s="487">
        <v>37834000</v>
      </c>
      <c r="F75" s="441"/>
      <c r="G75" s="489"/>
      <c r="H75" s="489"/>
      <c r="I75" s="388">
        <v>31081000</v>
      </c>
      <c r="J75" s="425"/>
    </row>
    <row r="76" spans="1:10" ht="15" customHeight="1" x14ac:dyDescent="0.2">
      <c r="A76" s="392" t="s">
        <v>919</v>
      </c>
      <c r="B76" s="500"/>
      <c r="C76" s="484"/>
      <c r="D76" s="484"/>
      <c r="E76" s="484"/>
      <c r="F76" s="441"/>
      <c r="G76" s="489"/>
      <c r="H76" s="489"/>
      <c r="I76" s="441"/>
      <c r="J76" s="421"/>
    </row>
    <row r="77" spans="1:10" ht="34.5" customHeight="1" x14ac:dyDescent="0.2">
      <c r="A77" s="392" t="s">
        <v>920</v>
      </c>
      <c r="B77" s="484"/>
      <c r="C77" s="493">
        <v>12.33</v>
      </c>
      <c r="D77" s="484">
        <v>1632000</v>
      </c>
      <c r="E77" s="484">
        <f>C77*D77</f>
        <v>20122560</v>
      </c>
      <c r="F77" s="441"/>
      <c r="G77" s="390">
        <v>13.81</v>
      </c>
      <c r="H77" s="389">
        <v>1632000</v>
      </c>
      <c r="I77" s="389">
        <f>G77*H77</f>
        <v>22537920</v>
      </c>
      <c r="J77" s="426"/>
    </row>
    <row r="78" spans="1:10" ht="13.5" customHeight="1" x14ac:dyDescent="0.2">
      <c r="A78" s="392" t="s">
        <v>921</v>
      </c>
      <c r="B78" s="484"/>
      <c r="C78" s="484"/>
      <c r="D78" s="484"/>
      <c r="E78" s="487">
        <v>7038795</v>
      </c>
      <c r="F78" s="441"/>
      <c r="G78" s="489"/>
      <c r="H78" s="489"/>
      <c r="I78" s="388">
        <v>10352656</v>
      </c>
      <c r="J78" s="427"/>
    </row>
    <row r="79" spans="1:10" ht="13.5" customHeight="1" x14ac:dyDescent="0.2">
      <c r="A79" s="481" t="s">
        <v>922</v>
      </c>
      <c r="B79" s="484"/>
      <c r="C79" s="484"/>
      <c r="D79" s="484"/>
      <c r="E79" s="487"/>
      <c r="F79" s="441"/>
      <c r="G79" s="388">
        <v>280</v>
      </c>
      <c r="H79" s="388">
        <v>285</v>
      </c>
      <c r="I79" s="388">
        <f>G79*H79</f>
        <v>79800</v>
      </c>
      <c r="J79" s="421"/>
    </row>
    <row r="80" spans="1:10" ht="31.5" customHeight="1" x14ac:dyDescent="0.2">
      <c r="A80" s="392" t="s">
        <v>923</v>
      </c>
      <c r="B80" s="484"/>
      <c r="C80" s="484"/>
      <c r="D80" s="484"/>
      <c r="E80" s="487">
        <v>0</v>
      </c>
      <c r="F80" s="441"/>
      <c r="G80" s="489"/>
      <c r="H80" s="489"/>
      <c r="I80" s="388">
        <v>0</v>
      </c>
      <c r="J80" s="421"/>
    </row>
    <row r="81" spans="1:256" ht="28.5" customHeight="1" x14ac:dyDescent="0.2">
      <c r="A81" s="488"/>
      <c r="B81" s="484"/>
      <c r="C81" s="484"/>
      <c r="D81" s="484"/>
      <c r="E81" s="503"/>
      <c r="F81" s="441"/>
      <c r="G81" s="489"/>
      <c r="H81" s="489"/>
      <c r="I81" s="441"/>
      <c r="J81" s="421"/>
      <c r="K81" s="490"/>
    </row>
    <row r="82" spans="1:256" ht="13.5" customHeight="1" x14ac:dyDescent="0.2">
      <c r="A82" s="491" t="s">
        <v>924</v>
      </c>
      <c r="B82" s="484"/>
      <c r="C82" s="484"/>
      <c r="D82" s="484"/>
      <c r="E82" s="503"/>
      <c r="F82" s="441"/>
      <c r="G82" s="489"/>
      <c r="H82" s="489"/>
      <c r="I82" s="441"/>
      <c r="J82" s="421"/>
    </row>
    <row r="83" spans="1:256" ht="13.5" customHeight="1" x14ac:dyDescent="0.2">
      <c r="A83" s="392" t="s">
        <v>925</v>
      </c>
      <c r="B83" s="484"/>
      <c r="C83" s="484"/>
      <c r="D83" s="484"/>
      <c r="E83" s="503"/>
      <c r="F83" s="441"/>
      <c r="G83" s="489"/>
      <c r="H83" s="489"/>
      <c r="I83" s="441"/>
      <c r="J83" s="421"/>
    </row>
    <row r="84" spans="1:256" ht="13.5" customHeight="1" x14ac:dyDescent="0.2">
      <c r="A84" s="392" t="s">
        <v>926</v>
      </c>
      <c r="B84" s="484"/>
      <c r="C84" s="484">
        <v>4865</v>
      </c>
      <c r="D84" s="484">
        <v>1140</v>
      </c>
      <c r="E84" s="504"/>
      <c r="F84" s="441"/>
      <c r="G84" s="389">
        <v>4837</v>
      </c>
      <c r="H84" s="389">
        <v>1140</v>
      </c>
      <c r="I84" s="203">
        <f>G84*H84</f>
        <v>5514180</v>
      </c>
      <c r="J84" s="421"/>
    </row>
    <row r="85" spans="1:256" ht="30" customHeight="1" x14ac:dyDescent="0.2">
      <c r="A85" s="481" t="s">
        <v>927</v>
      </c>
      <c r="B85" s="484"/>
      <c r="C85" s="484"/>
      <c r="D85" s="484"/>
      <c r="E85" s="504"/>
      <c r="F85" s="441"/>
      <c r="G85" s="484"/>
      <c r="H85" s="484"/>
      <c r="I85" s="203">
        <v>0</v>
      </c>
      <c r="J85" s="421"/>
    </row>
    <row r="86" spans="1:256" ht="13.5" customHeight="1" x14ac:dyDescent="0.2">
      <c r="A86" s="495"/>
      <c r="B86" s="500"/>
      <c r="C86" s="484"/>
      <c r="D86" s="498"/>
      <c r="E86" s="484"/>
      <c r="F86" s="441"/>
      <c r="G86" s="489"/>
      <c r="H86" s="489"/>
      <c r="I86" s="441"/>
      <c r="J86" s="421"/>
      <c r="K86" s="490"/>
    </row>
    <row r="87" spans="1:256" ht="25.5" customHeight="1" x14ac:dyDescent="0.2">
      <c r="A87" s="505" t="s">
        <v>928</v>
      </c>
      <c r="B87" s="500"/>
      <c r="C87" s="506"/>
      <c r="D87" s="484"/>
      <c r="E87" s="487"/>
      <c r="F87" s="500"/>
      <c r="G87" s="489"/>
      <c r="H87" s="489"/>
      <c r="I87" s="441"/>
      <c r="J87" s="421"/>
      <c r="K87" s="490"/>
      <c r="L87" s="490"/>
      <c r="N87" s="202"/>
    </row>
    <row r="88" spans="1:256" ht="13.5" customHeight="1" thickBot="1" x14ac:dyDescent="0.25">
      <c r="A88" s="507"/>
      <c r="B88" s="508"/>
      <c r="C88" s="509"/>
      <c r="D88" s="510"/>
      <c r="E88" s="509"/>
      <c r="F88" s="511"/>
      <c r="G88" s="512"/>
      <c r="H88" s="512"/>
      <c r="I88" s="511"/>
      <c r="J88" s="421"/>
    </row>
    <row r="89" spans="1:256" ht="11.25" customHeight="1" thickBot="1" x14ac:dyDescent="0.25">
      <c r="A89" s="513" t="s">
        <v>929</v>
      </c>
      <c r="B89" s="514"/>
      <c r="C89" s="514"/>
      <c r="D89" s="515"/>
      <c r="E89" s="516">
        <f>E12+E14+E17+E20+E23+E28+E31+E34+E39+E40+E41+E42+E44+E49+E51+E54+E58+E59+E63+E64+E67+E68+E69+E72+E74+E75+E77+E78</f>
        <v>987821085</v>
      </c>
      <c r="F89" s="1434">
        <f>I12+I16+I19+I22+I25+I28+I31+I34+I35+I39+I40+I41+I42+I44+I49+I50+I51+I52+I54+I58+I59+I66+I67+I68+I69+I72+I74+I75+I77+I78+I79+I80+I84+I45+I46+I43+I55</f>
        <v>992732374</v>
      </c>
      <c r="G89" s="1434"/>
      <c r="H89" s="1434"/>
      <c r="I89" s="1435"/>
      <c r="J89" s="7"/>
      <c r="K89" s="51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32"/>
      <c r="B91" s="132"/>
      <c r="C91" s="132"/>
      <c r="D91" s="132"/>
      <c r="E91" s="13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40"/>
  <sheetViews>
    <sheetView workbookViewId="0">
      <selection activeCell="J7" sqref="J7:N8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62" customWidth="1"/>
    <col min="6" max="6" width="15.140625" style="3" customWidth="1"/>
    <col min="7" max="7" width="0" style="162" hidden="1" customWidth="1"/>
    <col min="8" max="8" width="0" style="211" hidden="1" customWidth="1"/>
    <col min="9" max="9" width="10.28515625" style="162" hidden="1" customWidth="1"/>
    <col min="10" max="16384" width="9.140625" style="4"/>
  </cols>
  <sheetData>
    <row r="1" spans="1:14" x14ac:dyDescent="0.2">
      <c r="A1" s="1449" t="s">
        <v>1261</v>
      </c>
      <c r="B1" s="1449"/>
      <c r="C1" s="1449"/>
      <c r="D1" s="1449"/>
      <c r="E1" s="1449"/>
      <c r="F1" s="1449"/>
      <c r="G1" s="1449"/>
      <c r="H1" s="1449"/>
      <c r="I1" s="1449"/>
    </row>
    <row r="3" spans="1:14" ht="15" customHeight="1" x14ac:dyDescent="0.2">
      <c r="B3" s="1452" t="s">
        <v>78</v>
      </c>
      <c r="C3" s="1452"/>
      <c r="D3" s="1452"/>
      <c r="E3" s="1452"/>
      <c r="F3" s="1452"/>
      <c r="G3" s="1453"/>
      <c r="H3" s="1453"/>
      <c r="I3" s="1453"/>
    </row>
    <row r="4" spans="1:14" ht="15" customHeight="1" x14ac:dyDescent="0.2">
      <c r="B4" s="1456" t="s">
        <v>1119</v>
      </c>
      <c r="C4" s="1456"/>
      <c r="D4" s="1456"/>
      <c r="E4" s="1456"/>
      <c r="F4" s="1456"/>
      <c r="G4" s="4"/>
      <c r="H4" s="4"/>
      <c r="I4" s="4"/>
    </row>
    <row r="5" spans="1:14" ht="15" customHeight="1" x14ac:dyDescent="0.2">
      <c r="B5" s="1452"/>
      <c r="C5" s="1452"/>
      <c r="D5" s="1452"/>
      <c r="E5" s="1452"/>
    </row>
    <row r="6" spans="1:14" ht="15" customHeight="1" x14ac:dyDescent="0.2">
      <c r="B6" s="1454" t="s">
        <v>320</v>
      </c>
      <c r="C6" s="1455"/>
      <c r="D6" s="1455"/>
      <c r="E6" s="1455"/>
      <c r="F6" s="1455"/>
      <c r="G6" s="1455"/>
      <c r="H6" s="1455"/>
      <c r="I6" s="1455"/>
    </row>
    <row r="7" spans="1:14" ht="48.75" customHeight="1" x14ac:dyDescent="0.2">
      <c r="B7" s="774" t="s">
        <v>86</v>
      </c>
      <c r="C7" s="775" t="s">
        <v>1181</v>
      </c>
      <c r="D7" s="1451" t="s">
        <v>1272</v>
      </c>
      <c r="E7" s="1451"/>
      <c r="F7" s="1451"/>
      <c r="G7" s="1451" t="s">
        <v>598</v>
      </c>
      <c r="H7" s="1451"/>
      <c r="I7" s="1451"/>
      <c r="J7" s="1447" t="s">
        <v>1269</v>
      </c>
      <c r="K7" s="1448"/>
      <c r="L7" s="1447" t="s">
        <v>1270</v>
      </c>
      <c r="M7" s="1447"/>
      <c r="N7" s="1447"/>
    </row>
    <row r="8" spans="1:14" ht="35.450000000000003" customHeight="1" x14ac:dyDescent="0.2">
      <c r="B8" s="776"/>
      <c r="C8" s="777"/>
      <c r="D8" s="699" t="s">
        <v>62</v>
      </c>
      <c r="E8" s="778" t="s">
        <v>63</v>
      </c>
      <c r="F8" s="778" t="s">
        <v>1182</v>
      </c>
      <c r="G8" s="779"/>
      <c r="H8" s="779"/>
      <c r="I8" s="779"/>
      <c r="J8" s="700" t="s">
        <v>62</v>
      </c>
      <c r="K8" s="700" t="s">
        <v>63</v>
      </c>
      <c r="L8" s="700" t="s">
        <v>62</v>
      </c>
      <c r="M8" s="700" t="s">
        <v>63</v>
      </c>
      <c r="N8" s="700" t="s">
        <v>64</v>
      </c>
    </row>
    <row r="9" spans="1:14" ht="15.95" customHeight="1" x14ac:dyDescent="0.2">
      <c r="B9" s="780" t="s">
        <v>610</v>
      </c>
      <c r="C9" s="781"/>
      <c r="D9" s="782"/>
      <c r="E9" s="783"/>
      <c r="F9" s="782"/>
      <c r="G9" s="779"/>
      <c r="H9" s="779"/>
      <c r="I9" s="779"/>
      <c r="J9" s="779"/>
      <c r="K9" s="779"/>
      <c r="L9" s="779"/>
      <c r="M9" s="779"/>
      <c r="N9" s="779"/>
    </row>
    <row r="10" spans="1:14" ht="40.5" customHeight="1" x14ac:dyDescent="0.2">
      <c r="B10" s="782" t="s">
        <v>611</v>
      </c>
      <c r="C10" s="784" t="s">
        <v>595</v>
      </c>
      <c r="D10" s="785">
        <v>125390</v>
      </c>
      <c r="E10" s="785">
        <v>98610</v>
      </c>
      <c r="F10" s="785">
        <f>SUM(D10:E10)</f>
        <v>224000</v>
      </c>
      <c r="G10" s="779"/>
      <c r="H10" s="779"/>
      <c r="I10" s="779"/>
      <c r="J10" s="779"/>
      <c r="K10" s="779"/>
      <c r="L10" s="779"/>
      <c r="M10" s="779"/>
      <c r="N10" s="779"/>
    </row>
    <row r="11" spans="1:14" ht="31.5" customHeight="1" x14ac:dyDescent="0.2">
      <c r="B11" s="782" t="s">
        <v>612</v>
      </c>
      <c r="C11" s="782" t="s">
        <v>309</v>
      </c>
      <c r="D11" s="785">
        <v>154677</v>
      </c>
      <c r="E11" s="785">
        <v>394323</v>
      </c>
      <c r="F11" s="785">
        <f>SUM(D11:E11)</f>
        <v>549000</v>
      </c>
      <c r="G11" s="779"/>
      <c r="H11" s="779"/>
      <c r="I11" s="779"/>
      <c r="J11" s="786"/>
      <c r="K11" s="779"/>
      <c r="L11" s="779"/>
      <c r="M11" s="779"/>
      <c r="N11" s="779"/>
    </row>
    <row r="12" spans="1:14" ht="15.95" customHeight="1" thickBot="1" x14ac:dyDescent="0.25">
      <c r="B12" s="793" t="s">
        <v>613</v>
      </c>
      <c r="C12" s="794" t="s">
        <v>614</v>
      </c>
      <c r="D12" s="795">
        <v>144919</v>
      </c>
      <c r="E12" s="795">
        <v>286081</v>
      </c>
      <c r="F12" s="795">
        <f>SUM(D12:E12)</f>
        <v>431000</v>
      </c>
      <c r="G12" s="796"/>
      <c r="H12" s="796"/>
      <c r="I12" s="796"/>
      <c r="J12" s="796"/>
      <c r="K12" s="796"/>
      <c r="L12" s="796"/>
      <c r="M12" s="796"/>
      <c r="N12" s="796"/>
    </row>
    <row r="13" spans="1:14" ht="15.95" customHeight="1" thickBot="1" x14ac:dyDescent="0.25">
      <c r="B13" s="799" t="s">
        <v>615</v>
      </c>
      <c r="C13" s="800"/>
      <c r="D13" s="801">
        <f>SUM(D10:D12)</f>
        <v>424986</v>
      </c>
      <c r="E13" s="801">
        <f>SUM(E10:E12)</f>
        <v>779014</v>
      </c>
      <c r="F13" s="801">
        <f>SUM(D13:E13)</f>
        <v>1204000</v>
      </c>
      <c r="G13" s="802"/>
      <c r="H13" s="802"/>
      <c r="I13" s="802"/>
      <c r="J13" s="802"/>
      <c r="K13" s="802"/>
      <c r="L13" s="802"/>
      <c r="M13" s="802"/>
      <c r="N13" s="803"/>
    </row>
    <row r="14" spans="1:14" ht="15.95" customHeight="1" thickBot="1" x14ac:dyDescent="0.25">
      <c r="B14" s="174"/>
      <c r="C14" s="816"/>
      <c r="D14" s="809"/>
      <c r="E14" s="809"/>
      <c r="F14" s="809">
        <f t="shared" ref="F14:F30" si="0">SUM(D14:E14)</f>
        <v>0</v>
      </c>
      <c r="G14" s="810"/>
      <c r="H14" s="810"/>
      <c r="I14" s="810"/>
      <c r="J14" s="810"/>
      <c r="K14" s="810"/>
      <c r="L14" s="810"/>
      <c r="M14" s="810"/>
      <c r="N14" s="810"/>
    </row>
    <row r="15" spans="1:14" s="219" customFormat="1" ht="45.75" customHeight="1" thickBot="1" x14ac:dyDescent="0.25">
      <c r="B15" s="817" t="s">
        <v>616</v>
      </c>
      <c r="C15" s="818"/>
      <c r="D15" s="801">
        <v>4500</v>
      </c>
      <c r="E15" s="801"/>
      <c r="F15" s="801">
        <f>D15+E15</f>
        <v>4500</v>
      </c>
      <c r="G15" s="819"/>
      <c r="H15" s="819"/>
      <c r="I15" s="819"/>
      <c r="J15" s="819"/>
      <c r="K15" s="819"/>
      <c r="L15" s="819"/>
      <c r="M15" s="819"/>
      <c r="N15" s="820"/>
    </row>
    <row r="16" spans="1:14" ht="15.95" customHeight="1" x14ac:dyDescent="0.2">
      <c r="B16" s="814"/>
      <c r="C16" s="815"/>
      <c r="D16" s="797"/>
      <c r="E16" s="797"/>
      <c r="F16" s="797">
        <f t="shared" si="0"/>
        <v>0</v>
      </c>
      <c r="G16" s="798"/>
      <c r="H16" s="798"/>
      <c r="I16" s="798"/>
      <c r="J16" s="798"/>
      <c r="K16" s="798"/>
      <c r="L16" s="798"/>
      <c r="M16" s="798"/>
      <c r="N16" s="798"/>
    </row>
    <row r="17" spans="2:14" ht="15.95" customHeight="1" x14ac:dyDescent="0.2">
      <c r="B17" s="1450" t="s">
        <v>617</v>
      </c>
      <c r="C17" s="1450"/>
      <c r="D17" s="785"/>
      <c r="E17" s="785"/>
      <c r="F17" s="785">
        <f t="shared" si="0"/>
        <v>0</v>
      </c>
      <c r="G17" s="779"/>
      <c r="H17" s="779"/>
      <c r="I17" s="779"/>
      <c r="J17" s="779"/>
      <c r="K17" s="779"/>
      <c r="L17" s="779"/>
      <c r="M17" s="779"/>
      <c r="N17" s="779"/>
    </row>
    <row r="18" spans="2:14" ht="15.95" customHeight="1" x14ac:dyDescent="0.2">
      <c r="B18" s="782"/>
      <c r="C18" s="787"/>
      <c r="D18" s="785"/>
      <c r="E18" s="785"/>
      <c r="F18" s="785">
        <f t="shared" si="0"/>
        <v>0</v>
      </c>
      <c r="G18" s="779"/>
      <c r="H18" s="779"/>
      <c r="I18" s="779"/>
      <c r="J18" s="779"/>
      <c r="K18" s="779"/>
      <c r="L18" s="779"/>
      <c r="M18" s="779"/>
      <c r="N18" s="779"/>
    </row>
    <row r="19" spans="2:14" ht="28.5" customHeight="1" x14ac:dyDescent="0.2">
      <c r="B19" s="790"/>
      <c r="C19" s="791"/>
      <c r="D19" s="785"/>
      <c r="E19" s="785"/>
      <c r="F19" s="785">
        <f t="shared" si="0"/>
        <v>0</v>
      </c>
      <c r="G19" s="779"/>
      <c r="H19" s="779"/>
      <c r="I19" s="779"/>
      <c r="J19" s="779"/>
      <c r="K19" s="779"/>
      <c r="L19" s="779"/>
      <c r="M19" s="779"/>
      <c r="N19" s="779"/>
    </row>
    <row r="20" spans="2:14" ht="78.75" customHeight="1" thickBot="1" x14ac:dyDescent="0.25">
      <c r="B20" s="812" t="s">
        <v>618</v>
      </c>
      <c r="C20" s="813" t="s">
        <v>619</v>
      </c>
      <c r="D20" s="795">
        <v>17000</v>
      </c>
      <c r="E20" s="795"/>
      <c r="F20" s="795">
        <f t="shared" si="0"/>
        <v>17000</v>
      </c>
      <c r="G20" s="796"/>
      <c r="H20" s="796"/>
      <c r="I20" s="796"/>
      <c r="J20" s="796"/>
      <c r="K20" s="796"/>
      <c r="L20" s="796"/>
      <c r="M20" s="796"/>
      <c r="N20" s="796"/>
    </row>
    <row r="21" spans="2:14" s="4" customFormat="1" ht="15.95" customHeight="1" thickBot="1" x14ac:dyDescent="0.25">
      <c r="B21" s="799" t="s">
        <v>620</v>
      </c>
      <c r="C21" s="811"/>
      <c r="D21" s="801">
        <f>SUM(D18:D20)</f>
        <v>17000</v>
      </c>
      <c r="E21" s="801"/>
      <c r="F21" s="801">
        <f t="shared" si="0"/>
        <v>17000</v>
      </c>
      <c r="G21" s="802"/>
      <c r="H21" s="802"/>
      <c r="I21" s="802"/>
      <c r="J21" s="802"/>
      <c r="K21" s="802"/>
      <c r="L21" s="802"/>
      <c r="M21" s="802"/>
      <c r="N21" s="803"/>
    </row>
    <row r="22" spans="2:14" s="4" customFormat="1" ht="15.95" customHeight="1" x14ac:dyDescent="0.2">
      <c r="B22" s="814"/>
      <c r="C22" s="815"/>
      <c r="D22" s="797"/>
      <c r="E22" s="797"/>
      <c r="F22" s="797">
        <f t="shared" si="0"/>
        <v>0</v>
      </c>
      <c r="G22" s="798"/>
      <c r="H22" s="798"/>
      <c r="I22" s="798"/>
      <c r="J22" s="798"/>
      <c r="K22" s="798"/>
      <c r="L22" s="798"/>
      <c r="M22" s="798"/>
      <c r="N22" s="798"/>
    </row>
    <row r="23" spans="2:14" s="4" customFormat="1" ht="15.95" customHeight="1" x14ac:dyDescent="0.2">
      <c r="B23" s="780" t="s">
        <v>621</v>
      </c>
      <c r="C23" s="789"/>
      <c r="D23" s="785"/>
      <c r="E23" s="785"/>
      <c r="F23" s="785">
        <f t="shared" si="0"/>
        <v>0</v>
      </c>
      <c r="G23" s="779"/>
      <c r="H23" s="779"/>
      <c r="I23" s="779"/>
      <c r="J23" s="779"/>
      <c r="K23" s="779"/>
      <c r="L23" s="779"/>
      <c r="M23" s="779"/>
      <c r="N23" s="779"/>
    </row>
    <row r="24" spans="2:14" s="4" customFormat="1" ht="15.95" customHeight="1" x14ac:dyDescent="0.2">
      <c r="B24" s="782" t="s">
        <v>622</v>
      </c>
      <c r="C24" s="789"/>
      <c r="D24" s="785"/>
      <c r="E24" s="785"/>
      <c r="F24" s="785">
        <f t="shared" si="0"/>
        <v>0</v>
      </c>
      <c r="G24" s="779"/>
      <c r="H24" s="779"/>
      <c r="I24" s="779"/>
      <c r="J24" s="779"/>
      <c r="K24" s="779"/>
      <c r="L24" s="779"/>
      <c r="M24" s="779"/>
      <c r="N24" s="779"/>
    </row>
    <row r="25" spans="2:14" s="219" customFormat="1" ht="15.95" customHeight="1" x14ac:dyDescent="0.2">
      <c r="B25" s="779" t="s">
        <v>115</v>
      </c>
      <c r="C25" s="792"/>
      <c r="D25" s="785">
        <v>820</v>
      </c>
      <c r="E25" s="785"/>
      <c r="F25" s="785">
        <f t="shared" si="0"/>
        <v>820</v>
      </c>
      <c r="G25" s="779"/>
      <c r="H25" s="788"/>
      <c r="I25" s="788"/>
      <c r="J25" s="788"/>
      <c r="K25" s="788"/>
      <c r="L25" s="788"/>
      <c r="M25" s="788"/>
      <c r="N25" s="788"/>
    </row>
    <row r="26" spans="2:14" s="219" customFormat="1" ht="15.95" customHeight="1" x14ac:dyDescent="0.2">
      <c r="B26" s="779" t="s">
        <v>581</v>
      </c>
      <c r="C26" s="792"/>
      <c r="D26" s="785">
        <v>9000</v>
      </c>
      <c r="E26" s="785"/>
      <c r="F26" s="785">
        <f>SUM(D26:E26)</f>
        <v>9000</v>
      </c>
      <c r="G26" s="779"/>
      <c r="H26" s="788"/>
      <c r="I26" s="788"/>
      <c r="J26" s="788"/>
      <c r="K26" s="788"/>
      <c r="L26" s="788"/>
      <c r="M26" s="788"/>
      <c r="N26" s="788"/>
    </row>
    <row r="27" spans="2:14" s="4" customFormat="1" ht="15.95" customHeight="1" x14ac:dyDescent="0.2">
      <c r="B27" s="782" t="s">
        <v>623</v>
      </c>
      <c r="C27" s="789"/>
      <c r="D27" s="785"/>
      <c r="E27" s="785"/>
      <c r="F27" s="785">
        <f t="shared" si="0"/>
        <v>0</v>
      </c>
      <c r="G27" s="779"/>
      <c r="H27" s="779"/>
      <c r="I27" s="779"/>
      <c r="J27" s="779"/>
      <c r="K27" s="779"/>
      <c r="L27" s="779"/>
      <c r="M27" s="779"/>
      <c r="N27" s="779"/>
    </row>
    <row r="28" spans="2:14" s="4" customFormat="1" ht="15.95" customHeight="1" thickBot="1" x14ac:dyDescent="0.25">
      <c r="B28" s="793" t="s">
        <v>624</v>
      </c>
      <c r="C28" s="804"/>
      <c r="D28" s="795"/>
      <c r="E28" s="795"/>
      <c r="F28" s="795">
        <f t="shared" si="0"/>
        <v>0</v>
      </c>
      <c r="G28" s="796"/>
      <c r="H28" s="796"/>
      <c r="I28" s="796"/>
      <c r="J28" s="796"/>
      <c r="K28" s="796"/>
      <c r="L28" s="796"/>
      <c r="M28" s="796"/>
      <c r="N28" s="796"/>
    </row>
    <row r="29" spans="2:14" s="4" customFormat="1" ht="15.95" customHeight="1" thickBot="1" x14ac:dyDescent="0.25">
      <c r="B29" s="799" t="s">
        <v>625</v>
      </c>
      <c r="C29" s="811"/>
      <c r="D29" s="801">
        <f>SUM(D24:D28)</f>
        <v>9820</v>
      </c>
      <c r="E29" s="801">
        <f>SUM(E24:E28)</f>
        <v>0</v>
      </c>
      <c r="F29" s="801">
        <f t="shared" si="0"/>
        <v>9820</v>
      </c>
      <c r="G29" s="802"/>
      <c r="H29" s="802"/>
      <c r="I29" s="802"/>
      <c r="J29" s="802"/>
      <c r="K29" s="802"/>
      <c r="L29" s="802"/>
      <c r="M29" s="802"/>
      <c r="N29" s="803"/>
    </row>
    <row r="30" spans="2:14" s="4" customFormat="1" ht="15.95" customHeight="1" thickBot="1" x14ac:dyDescent="0.25">
      <c r="B30" s="807"/>
      <c r="C30" s="808"/>
      <c r="D30" s="809"/>
      <c r="E30" s="809"/>
      <c r="F30" s="809">
        <f t="shared" si="0"/>
        <v>0</v>
      </c>
      <c r="G30" s="810"/>
      <c r="H30" s="810"/>
      <c r="I30" s="810"/>
      <c r="J30" s="810"/>
      <c r="K30" s="810"/>
      <c r="L30" s="810"/>
      <c r="M30" s="810"/>
      <c r="N30" s="810"/>
    </row>
    <row r="31" spans="2:14" s="4" customFormat="1" ht="15.95" customHeight="1" thickBot="1" x14ac:dyDescent="0.25">
      <c r="B31" s="799" t="s">
        <v>626</v>
      </c>
      <c r="C31" s="805"/>
      <c r="D31" s="806">
        <f>D13+D15+D21+D29</f>
        <v>456306</v>
      </c>
      <c r="E31" s="806">
        <f>E13+E15+E21+E29</f>
        <v>779014</v>
      </c>
      <c r="F31" s="806">
        <f>SUM(D31:E31)</f>
        <v>1235320</v>
      </c>
      <c r="G31" s="802"/>
      <c r="H31" s="802"/>
      <c r="I31" s="802"/>
      <c r="J31" s="802"/>
      <c r="K31" s="802"/>
      <c r="L31" s="802"/>
      <c r="M31" s="802"/>
      <c r="N31" s="803"/>
    </row>
    <row r="32" spans="2:14" s="4" customFormat="1" ht="15.95" customHeight="1" x14ac:dyDescent="0.2">
      <c r="B32" s="3"/>
      <c r="C32" s="3"/>
      <c r="D32" s="3"/>
      <c r="E32" s="162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8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89"/>
  <sheetViews>
    <sheetView topLeftCell="A7" zoomScale="200" zoomScaleNormal="200" workbookViewId="0">
      <selection activeCell="A29" sqref="A29:XFD29"/>
    </sheetView>
  </sheetViews>
  <sheetFormatPr defaultColWidth="9.140625" defaultRowHeight="11.25" x14ac:dyDescent="0.2"/>
  <cols>
    <col min="1" max="1" width="4.85546875" style="120" customWidth="1"/>
    <col min="2" max="2" width="57.5703125" style="137" customWidth="1"/>
    <col min="3" max="3" width="8.7109375" style="117" customWidth="1"/>
    <col min="4" max="4" width="9.5703125" style="117" customWidth="1"/>
    <col min="5" max="5" width="8.28515625" style="117" customWidth="1"/>
    <col min="6" max="6" width="6.140625" style="8" customWidth="1"/>
    <col min="7" max="7" width="6.42578125" style="8" customWidth="1"/>
    <col min="8" max="8" width="6.85546875" style="8" customWidth="1"/>
    <col min="9" max="9" width="6.7109375" style="8" customWidth="1"/>
    <col min="10" max="10" width="7.5703125" style="8" customWidth="1"/>
    <col min="11" max="16384" width="9.140625" style="8"/>
  </cols>
  <sheetData>
    <row r="1" spans="1:10" x14ac:dyDescent="0.2">
      <c r="B1" s="1457" t="s">
        <v>1262</v>
      </c>
      <c r="C1" s="1457"/>
      <c r="D1" s="1457"/>
      <c r="E1" s="1457"/>
    </row>
    <row r="2" spans="1:10" x14ac:dyDescent="0.2">
      <c r="B2" s="138"/>
    </row>
    <row r="3" spans="1:10" x14ac:dyDescent="0.2">
      <c r="A3" s="1461" t="s">
        <v>54</v>
      </c>
      <c r="B3" s="1461"/>
      <c r="C3" s="1461"/>
      <c r="D3" s="1461"/>
      <c r="E3" s="1461"/>
    </row>
    <row r="4" spans="1:10" ht="11.25" customHeight="1" x14ac:dyDescent="0.2">
      <c r="A4" s="1461" t="s">
        <v>1153</v>
      </c>
      <c r="B4" s="1461"/>
      <c r="C4" s="1461"/>
      <c r="D4" s="1461"/>
      <c r="E4" s="1461"/>
    </row>
    <row r="5" spans="1:10" x14ac:dyDescent="0.2">
      <c r="A5" s="1461" t="s">
        <v>724</v>
      </c>
      <c r="B5" s="1461"/>
      <c r="C5" s="1461"/>
      <c r="D5" s="1461"/>
      <c r="E5" s="1461"/>
    </row>
    <row r="6" spans="1:10" ht="12.75" x14ac:dyDescent="0.2">
      <c r="B6" s="1462" t="s">
        <v>320</v>
      </c>
      <c r="C6" s="1463"/>
      <c r="D6" s="1463"/>
      <c r="E6" s="1463"/>
    </row>
    <row r="7" spans="1:10" ht="24" customHeight="1" x14ac:dyDescent="0.2">
      <c r="A7" s="1464" t="s">
        <v>77</v>
      </c>
      <c r="B7" s="1458" t="s">
        <v>86</v>
      </c>
      <c r="C7" s="1460" t="s">
        <v>1273</v>
      </c>
      <c r="D7" s="1460"/>
      <c r="E7" s="1460"/>
      <c r="F7" s="1447" t="s">
        <v>1269</v>
      </c>
      <c r="G7" s="1448"/>
      <c r="H7" s="1447" t="s">
        <v>1270</v>
      </c>
      <c r="I7" s="1447"/>
      <c r="J7" s="1447"/>
    </row>
    <row r="8" spans="1:10" ht="28.5" customHeight="1" x14ac:dyDescent="0.2">
      <c r="A8" s="1464"/>
      <c r="B8" s="1459"/>
      <c r="C8" s="590" t="s">
        <v>62</v>
      </c>
      <c r="D8" s="590" t="s">
        <v>63</v>
      </c>
      <c r="E8" s="590" t="s">
        <v>64</v>
      </c>
      <c r="F8" s="700" t="s">
        <v>62</v>
      </c>
      <c r="G8" s="700" t="s">
        <v>63</v>
      </c>
      <c r="H8" s="700" t="s">
        <v>62</v>
      </c>
      <c r="I8" s="700" t="s">
        <v>63</v>
      </c>
      <c r="J8" s="700" t="s">
        <v>64</v>
      </c>
    </row>
    <row r="9" spans="1:10" x14ac:dyDescent="0.2">
      <c r="A9" s="704" t="s">
        <v>507</v>
      </c>
      <c r="B9" s="821" t="s">
        <v>87</v>
      </c>
      <c r="C9" s="708"/>
      <c r="D9" s="708"/>
      <c r="E9" s="708"/>
      <c r="F9" s="822"/>
      <c r="G9" s="822"/>
      <c r="H9" s="822"/>
      <c r="I9" s="822"/>
      <c r="J9" s="822"/>
    </row>
    <row r="10" spans="1:10" ht="12" thickBot="1" x14ac:dyDescent="0.25">
      <c r="A10" s="731" t="s">
        <v>515</v>
      </c>
      <c r="B10" s="829" t="s">
        <v>88</v>
      </c>
      <c r="C10" s="830"/>
      <c r="D10" s="831"/>
      <c r="E10" s="831">
        <f>SUM(C10:D10)</f>
        <v>0</v>
      </c>
      <c r="F10" s="832"/>
      <c r="G10" s="832"/>
      <c r="H10" s="832"/>
      <c r="I10" s="832"/>
      <c r="J10" s="832"/>
    </row>
    <row r="11" spans="1:10" s="9" customFormat="1" ht="12" thickBot="1" x14ac:dyDescent="0.25">
      <c r="A11" s="737" t="s">
        <v>516</v>
      </c>
      <c r="B11" s="837" t="s">
        <v>174</v>
      </c>
      <c r="C11" s="773">
        <f>C12+C13+C14+C15</f>
        <v>730371</v>
      </c>
      <c r="D11" s="773">
        <f t="shared" ref="D11:E11" si="0">D12+D13+D14+D15</f>
        <v>93769</v>
      </c>
      <c r="E11" s="773">
        <f t="shared" si="0"/>
        <v>824140</v>
      </c>
      <c r="F11" s="838"/>
      <c r="G11" s="838"/>
      <c r="H11" s="838"/>
      <c r="I11" s="838"/>
      <c r="J11" s="839"/>
    </row>
    <row r="12" spans="1:10" s="9" customFormat="1" x14ac:dyDescent="0.2">
      <c r="A12" s="833" t="s">
        <v>517</v>
      </c>
      <c r="B12" s="834" t="s">
        <v>171</v>
      </c>
      <c r="C12" s="835">
        <v>548782</v>
      </c>
      <c r="D12" s="835"/>
      <c r="E12" s="835">
        <f t="shared" ref="E12:E15" si="1">C12+D12</f>
        <v>548782</v>
      </c>
      <c r="F12" s="836"/>
      <c r="G12" s="836"/>
      <c r="H12" s="836"/>
      <c r="I12" s="836"/>
      <c r="J12" s="836"/>
    </row>
    <row r="13" spans="1:10" s="9" customFormat="1" x14ac:dyDescent="0.2">
      <c r="A13" s="704" t="s">
        <v>518</v>
      </c>
      <c r="B13" s="824" t="s">
        <v>172</v>
      </c>
      <c r="C13" s="825">
        <v>87961</v>
      </c>
      <c r="D13" s="825"/>
      <c r="E13" s="825">
        <f t="shared" si="1"/>
        <v>87961</v>
      </c>
      <c r="F13" s="823"/>
      <c r="G13" s="823"/>
      <c r="H13" s="823"/>
      <c r="I13" s="823"/>
      <c r="J13" s="823"/>
    </row>
    <row r="14" spans="1:10" s="9" customFormat="1" x14ac:dyDescent="0.2">
      <c r="A14" s="704" t="s">
        <v>519</v>
      </c>
      <c r="B14" s="824" t="s">
        <v>173</v>
      </c>
      <c r="C14" s="825">
        <v>86377</v>
      </c>
      <c r="D14" s="825">
        <v>93769</v>
      </c>
      <c r="E14" s="825">
        <f t="shared" si="1"/>
        <v>180146</v>
      </c>
      <c r="F14" s="823"/>
      <c r="G14" s="823"/>
      <c r="H14" s="823"/>
      <c r="I14" s="823"/>
      <c r="J14" s="823"/>
    </row>
    <row r="15" spans="1:10" s="9" customFormat="1" x14ac:dyDescent="0.2">
      <c r="A15" s="704" t="s">
        <v>522</v>
      </c>
      <c r="B15" s="824" t="s">
        <v>192</v>
      </c>
      <c r="C15" s="708">
        <v>7251</v>
      </c>
      <c r="D15" s="708"/>
      <c r="E15" s="708">
        <f t="shared" si="1"/>
        <v>7251</v>
      </c>
      <c r="F15" s="823"/>
      <c r="G15" s="823"/>
      <c r="H15" s="823"/>
      <c r="I15" s="823"/>
      <c r="J15" s="823"/>
    </row>
    <row r="16" spans="1:10" s="9" customFormat="1" ht="12" thickBot="1" x14ac:dyDescent="0.25">
      <c r="A16" s="731" t="s">
        <v>564</v>
      </c>
      <c r="B16" s="829" t="s">
        <v>175</v>
      </c>
      <c r="C16" s="772">
        <v>0</v>
      </c>
      <c r="D16" s="772"/>
      <c r="E16" s="772">
        <v>0</v>
      </c>
      <c r="F16" s="840"/>
      <c r="G16" s="840"/>
      <c r="H16" s="840"/>
      <c r="I16" s="840"/>
      <c r="J16" s="840"/>
    </row>
    <row r="17" spans="1:10" s="9" customFormat="1" ht="12" thickBot="1" x14ac:dyDescent="0.25">
      <c r="A17" s="847" t="s">
        <v>565</v>
      </c>
      <c r="B17" s="842" t="s">
        <v>202</v>
      </c>
      <c r="C17" s="739">
        <v>10611</v>
      </c>
      <c r="D17" s="843"/>
      <c r="E17" s="739">
        <f>C17+D17</f>
        <v>10611</v>
      </c>
      <c r="F17" s="838"/>
      <c r="G17" s="838"/>
      <c r="H17" s="838"/>
      <c r="I17" s="838"/>
      <c r="J17" s="839"/>
    </row>
    <row r="18" spans="1:10" s="9" customFormat="1" ht="12" thickBot="1" x14ac:dyDescent="0.25">
      <c r="A18" s="847" t="s">
        <v>566</v>
      </c>
      <c r="B18" s="842" t="s">
        <v>299</v>
      </c>
      <c r="C18" s="697">
        <v>0</v>
      </c>
      <c r="D18" s="697">
        <v>0</v>
      </c>
      <c r="E18" s="697">
        <f>C18+D18</f>
        <v>0</v>
      </c>
      <c r="F18" s="838"/>
      <c r="G18" s="838"/>
      <c r="H18" s="838"/>
      <c r="I18" s="838"/>
      <c r="J18" s="839"/>
    </row>
    <row r="19" spans="1:10" x14ac:dyDescent="0.2">
      <c r="A19" s="833" t="s">
        <v>567</v>
      </c>
      <c r="B19" s="844"/>
      <c r="C19" s="845"/>
      <c r="D19" s="845"/>
      <c r="E19" s="845"/>
      <c r="F19" s="846"/>
      <c r="G19" s="846"/>
      <c r="H19" s="846"/>
      <c r="I19" s="846"/>
      <c r="J19" s="846"/>
    </row>
    <row r="20" spans="1:10" ht="12" thickBot="1" x14ac:dyDescent="0.25">
      <c r="A20" s="731" t="s">
        <v>568</v>
      </c>
      <c r="B20" s="829" t="s">
        <v>17</v>
      </c>
      <c r="C20" s="772"/>
      <c r="D20" s="772"/>
      <c r="E20" s="772"/>
      <c r="F20" s="832"/>
      <c r="G20" s="832"/>
      <c r="H20" s="832"/>
      <c r="I20" s="832"/>
      <c r="J20" s="832"/>
    </row>
    <row r="21" spans="1:10" ht="12" thickBot="1" x14ac:dyDescent="0.25">
      <c r="A21" s="737" t="s">
        <v>569</v>
      </c>
      <c r="B21" s="848" t="s">
        <v>89</v>
      </c>
      <c r="C21" s="697">
        <f>SUM(C22:C28)</f>
        <v>5163</v>
      </c>
      <c r="D21" s="697">
        <f t="shared" ref="D21:E21" si="2">SUM(D22:D28)</f>
        <v>2450</v>
      </c>
      <c r="E21" s="697">
        <f t="shared" si="2"/>
        <v>7613</v>
      </c>
      <c r="F21" s="849"/>
      <c r="G21" s="849"/>
      <c r="H21" s="849"/>
      <c r="I21" s="849"/>
      <c r="J21" s="850"/>
    </row>
    <row r="22" spans="1:10" x14ac:dyDescent="0.2">
      <c r="A22" s="833" t="s">
        <v>570</v>
      </c>
      <c r="B22" s="844" t="s">
        <v>1133</v>
      </c>
      <c r="C22" s="845">
        <v>0</v>
      </c>
      <c r="D22" s="845"/>
      <c r="E22" s="845">
        <f>C22+D22</f>
        <v>0</v>
      </c>
      <c r="F22" s="846"/>
      <c r="G22" s="846"/>
      <c r="H22" s="846"/>
      <c r="I22" s="846"/>
      <c r="J22" s="846"/>
    </row>
    <row r="23" spans="1:10" x14ac:dyDescent="0.2">
      <c r="A23" s="704" t="s">
        <v>571</v>
      </c>
      <c r="B23" s="826" t="s">
        <v>1134</v>
      </c>
      <c r="C23" s="708">
        <v>4313</v>
      </c>
      <c r="D23" s="708"/>
      <c r="E23" s="708">
        <f>C23+D23</f>
        <v>4313</v>
      </c>
      <c r="F23" s="822"/>
      <c r="G23" s="822"/>
      <c r="H23" s="822"/>
      <c r="I23" s="822"/>
      <c r="J23" s="822"/>
    </row>
    <row r="24" spans="1:10" x14ac:dyDescent="0.2">
      <c r="A24" s="704" t="s">
        <v>573</v>
      </c>
      <c r="B24" s="826" t="s">
        <v>1000</v>
      </c>
      <c r="C24" s="708">
        <v>0</v>
      </c>
      <c r="D24" s="708"/>
      <c r="E24" s="708">
        <f>C24+D24</f>
        <v>0</v>
      </c>
      <c r="F24" s="822"/>
      <c r="G24" s="822"/>
      <c r="H24" s="822"/>
      <c r="I24" s="822"/>
      <c r="J24" s="822"/>
    </row>
    <row r="25" spans="1:10" x14ac:dyDescent="0.2">
      <c r="A25" s="704" t="s">
        <v>574</v>
      </c>
      <c r="B25" s="826" t="s">
        <v>93</v>
      </c>
      <c r="C25" s="708">
        <v>0</v>
      </c>
      <c r="D25" s="708"/>
      <c r="E25" s="708">
        <f t="shared" ref="E25:E28" si="3">SUM(C25:D25)</f>
        <v>0</v>
      </c>
      <c r="F25" s="822"/>
      <c r="G25" s="822"/>
      <c r="H25" s="822"/>
      <c r="I25" s="822"/>
      <c r="J25" s="822"/>
    </row>
    <row r="26" spans="1:10" x14ac:dyDescent="0.2">
      <c r="A26" s="704" t="s">
        <v>575</v>
      </c>
      <c r="B26" s="826" t="s">
        <v>583</v>
      </c>
      <c r="C26" s="708">
        <v>500</v>
      </c>
      <c r="D26" s="708"/>
      <c r="E26" s="708">
        <f t="shared" si="3"/>
        <v>500</v>
      </c>
      <c r="F26" s="822"/>
      <c r="G26" s="822"/>
      <c r="H26" s="822"/>
      <c r="I26" s="822"/>
      <c r="J26" s="822"/>
    </row>
    <row r="27" spans="1:10" x14ac:dyDescent="0.2">
      <c r="A27" s="704" t="s">
        <v>576</v>
      </c>
      <c r="B27" s="826" t="s">
        <v>168</v>
      </c>
      <c r="C27" s="708">
        <v>350</v>
      </c>
      <c r="D27" s="708"/>
      <c r="E27" s="708">
        <f t="shared" si="3"/>
        <v>350</v>
      </c>
      <c r="F27" s="822"/>
      <c r="G27" s="822"/>
      <c r="H27" s="822"/>
      <c r="I27" s="822"/>
      <c r="J27" s="822"/>
    </row>
    <row r="28" spans="1:10" x14ac:dyDescent="0.2">
      <c r="A28" s="704" t="s">
        <v>577</v>
      </c>
      <c r="B28" s="826" t="s">
        <v>1217</v>
      </c>
      <c r="C28" s="708"/>
      <c r="D28" s="708">
        <v>2450</v>
      </c>
      <c r="E28" s="708">
        <f t="shared" si="3"/>
        <v>2450</v>
      </c>
      <c r="F28" s="822"/>
      <c r="G28" s="822"/>
      <c r="H28" s="822"/>
      <c r="I28" s="822"/>
      <c r="J28" s="822"/>
    </row>
    <row r="29" spans="1:10" x14ac:dyDescent="0.2">
      <c r="A29" s="731"/>
      <c r="B29" s="851"/>
      <c r="C29" s="831"/>
      <c r="D29" s="831"/>
      <c r="E29" s="831"/>
      <c r="F29" s="832"/>
      <c r="G29" s="832"/>
      <c r="H29" s="832"/>
      <c r="I29" s="832"/>
      <c r="J29" s="832"/>
    </row>
    <row r="30" spans="1:10" ht="12" thickBot="1" x14ac:dyDescent="0.25">
      <c r="A30" s="731" t="s">
        <v>578</v>
      </c>
      <c r="B30" s="851"/>
      <c r="C30" s="831"/>
      <c r="D30" s="831"/>
      <c r="E30" s="831"/>
      <c r="F30" s="832"/>
      <c r="G30" s="832"/>
      <c r="H30" s="832"/>
      <c r="I30" s="832"/>
      <c r="J30" s="832"/>
    </row>
    <row r="31" spans="1:10" ht="12" thickBot="1" x14ac:dyDescent="0.25">
      <c r="A31" s="737" t="s">
        <v>579</v>
      </c>
      <c r="B31" s="848" t="s">
        <v>71</v>
      </c>
      <c r="C31" s="697">
        <f>SUM(C32:C33)</f>
        <v>5065</v>
      </c>
      <c r="D31" s="697">
        <f t="shared" ref="D31:E31" si="4">SUM(D32:D33)</f>
        <v>0</v>
      </c>
      <c r="E31" s="697">
        <f t="shared" si="4"/>
        <v>5065</v>
      </c>
      <c r="F31" s="849"/>
      <c r="G31" s="849"/>
      <c r="H31" s="849"/>
      <c r="I31" s="849"/>
      <c r="J31" s="850"/>
    </row>
    <row r="32" spans="1:10" x14ac:dyDescent="0.2">
      <c r="A32" s="833" t="s">
        <v>580</v>
      </c>
      <c r="B32" s="852" t="s">
        <v>94</v>
      </c>
      <c r="C32" s="845">
        <v>5065</v>
      </c>
      <c r="D32" s="845"/>
      <c r="E32" s="845">
        <f t="shared" ref="E32:E33" si="5">C32+D32</f>
        <v>5065</v>
      </c>
      <c r="F32" s="846"/>
      <c r="G32" s="846"/>
      <c r="H32" s="846"/>
      <c r="I32" s="846"/>
      <c r="J32" s="846"/>
    </row>
    <row r="33" spans="1:10" x14ac:dyDescent="0.2">
      <c r="A33" s="704" t="s">
        <v>600</v>
      </c>
      <c r="B33" s="827" t="s">
        <v>95</v>
      </c>
      <c r="C33" s="708">
        <v>0</v>
      </c>
      <c r="D33" s="708"/>
      <c r="E33" s="708">
        <f t="shared" si="5"/>
        <v>0</v>
      </c>
      <c r="F33" s="822"/>
      <c r="G33" s="822"/>
      <c r="H33" s="822"/>
      <c r="I33" s="822"/>
      <c r="J33" s="822"/>
    </row>
    <row r="34" spans="1:10" ht="12" thickBot="1" x14ac:dyDescent="0.25">
      <c r="A34" s="731" t="s">
        <v>601</v>
      </c>
      <c r="B34" s="853"/>
      <c r="C34" s="831"/>
      <c r="D34" s="831"/>
      <c r="E34" s="831"/>
      <c r="F34" s="832"/>
      <c r="G34" s="832"/>
      <c r="H34" s="832"/>
      <c r="I34" s="832"/>
      <c r="J34" s="832"/>
    </row>
    <row r="35" spans="1:10" ht="12" thickBot="1" x14ac:dyDescent="0.25">
      <c r="A35" s="737" t="s">
        <v>602</v>
      </c>
      <c r="B35" s="854" t="s">
        <v>1018</v>
      </c>
      <c r="C35" s="697">
        <f>SUM(C36:C36)</f>
        <v>0</v>
      </c>
      <c r="D35" s="697">
        <f>SUM(D36:D36)</f>
        <v>0</v>
      </c>
      <c r="E35" s="697">
        <f>SUM(E36:E36)</f>
        <v>0</v>
      </c>
      <c r="F35" s="849"/>
      <c r="G35" s="849"/>
      <c r="H35" s="849"/>
      <c r="I35" s="849"/>
      <c r="J35" s="850"/>
    </row>
    <row r="36" spans="1:10" ht="12" thickBot="1" x14ac:dyDescent="0.25">
      <c r="A36" s="855" t="s">
        <v>603</v>
      </c>
      <c r="B36" s="856"/>
      <c r="C36" s="857"/>
      <c r="D36" s="857"/>
      <c r="E36" s="857"/>
      <c r="F36" s="858"/>
      <c r="G36" s="858"/>
      <c r="H36" s="858"/>
      <c r="I36" s="858"/>
      <c r="J36" s="858"/>
    </row>
    <row r="37" spans="1:10" ht="12" thickBot="1" x14ac:dyDescent="0.25">
      <c r="A37" s="737" t="s">
        <v>604</v>
      </c>
      <c r="B37" s="738" t="s">
        <v>169</v>
      </c>
      <c r="C37" s="697">
        <f>C21+C31+C35</f>
        <v>10228</v>
      </c>
      <c r="D37" s="697">
        <f t="shared" ref="D37:E37" si="6">D21+D31+D35</f>
        <v>2450</v>
      </c>
      <c r="E37" s="697">
        <f t="shared" si="6"/>
        <v>12678</v>
      </c>
      <c r="F37" s="849"/>
      <c r="G37" s="849"/>
      <c r="H37" s="849"/>
      <c r="I37" s="849"/>
      <c r="J37" s="850"/>
    </row>
    <row r="38" spans="1:10" x14ac:dyDescent="0.2">
      <c r="A38" s="833" t="s">
        <v>605</v>
      </c>
      <c r="B38" s="859"/>
      <c r="C38" s="841"/>
      <c r="D38" s="841"/>
      <c r="E38" s="841"/>
      <c r="F38" s="846"/>
      <c r="G38" s="846"/>
      <c r="H38" s="846"/>
      <c r="I38" s="846"/>
      <c r="J38" s="846"/>
    </row>
    <row r="39" spans="1:10" x14ac:dyDescent="0.2">
      <c r="A39" s="704" t="s">
        <v>606</v>
      </c>
      <c r="B39" s="709" t="s">
        <v>1019</v>
      </c>
      <c r="C39" s="706"/>
      <c r="D39" s="706"/>
      <c r="E39" s="706"/>
      <c r="F39" s="822"/>
      <c r="G39" s="822"/>
      <c r="H39" s="822"/>
      <c r="I39" s="822"/>
      <c r="J39" s="822"/>
    </row>
    <row r="40" spans="1:10" x14ac:dyDescent="0.2">
      <c r="A40" s="704" t="s">
        <v>607</v>
      </c>
      <c r="B40" s="709" t="s">
        <v>1218</v>
      </c>
      <c r="C40" s="708"/>
      <c r="D40" s="708">
        <v>2064</v>
      </c>
      <c r="E40" s="708">
        <f>C40+D40</f>
        <v>2064</v>
      </c>
      <c r="F40" s="822"/>
      <c r="G40" s="822"/>
      <c r="H40" s="822"/>
      <c r="I40" s="822"/>
      <c r="J40" s="822"/>
    </row>
    <row r="41" spans="1:10" x14ac:dyDescent="0.2">
      <c r="A41" s="704" t="s">
        <v>608</v>
      </c>
      <c r="B41" s="709" t="s">
        <v>1219</v>
      </c>
      <c r="C41" s="708"/>
      <c r="D41" s="708">
        <v>2460</v>
      </c>
      <c r="E41" s="708">
        <f t="shared" ref="E41:E43" si="7">C41+D41</f>
        <v>2460</v>
      </c>
      <c r="F41" s="822"/>
      <c r="G41" s="822"/>
      <c r="H41" s="822"/>
      <c r="I41" s="822"/>
      <c r="J41" s="822"/>
    </row>
    <row r="42" spans="1:10" x14ac:dyDescent="0.2">
      <c r="A42" s="704" t="s">
        <v>663</v>
      </c>
      <c r="B42" s="709" t="s">
        <v>1165</v>
      </c>
      <c r="C42" s="706"/>
      <c r="D42" s="708">
        <v>2</v>
      </c>
      <c r="E42" s="708">
        <f t="shared" si="7"/>
        <v>2</v>
      </c>
      <c r="F42" s="822"/>
      <c r="G42" s="822"/>
      <c r="H42" s="822"/>
      <c r="I42" s="822"/>
      <c r="J42" s="822"/>
    </row>
    <row r="43" spans="1:10" x14ac:dyDescent="0.2">
      <c r="A43" s="704" t="s">
        <v>664</v>
      </c>
      <c r="B43" s="709" t="s">
        <v>1220</v>
      </c>
      <c r="C43" s="706"/>
      <c r="D43" s="708">
        <v>57498</v>
      </c>
      <c r="E43" s="708">
        <f t="shared" si="7"/>
        <v>57498</v>
      </c>
      <c r="F43" s="822"/>
      <c r="G43" s="822"/>
      <c r="H43" s="822"/>
      <c r="I43" s="822"/>
      <c r="J43" s="822"/>
    </row>
    <row r="44" spans="1:10" ht="12" thickBot="1" x14ac:dyDescent="0.25">
      <c r="A44" s="731" t="s">
        <v>665</v>
      </c>
      <c r="B44" s="735"/>
      <c r="C44" s="772"/>
      <c r="D44" s="831"/>
      <c r="E44" s="831"/>
      <c r="F44" s="832"/>
      <c r="G44" s="832"/>
      <c r="H44" s="832"/>
      <c r="I44" s="832"/>
      <c r="J44" s="832"/>
    </row>
    <row r="45" spans="1:10" ht="12" thickBot="1" x14ac:dyDescent="0.25">
      <c r="A45" s="737" t="s">
        <v>666</v>
      </c>
      <c r="B45" s="738" t="s">
        <v>1019</v>
      </c>
      <c r="C45" s="697">
        <f>SUM(C40:C44)</f>
        <v>0</v>
      </c>
      <c r="D45" s="697">
        <f>SUM(D40:D44)</f>
        <v>62024</v>
      </c>
      <c r="E45" s="697">
        <f>SUM(E40:E44)</f>
        <v>62024</v>
      </c>
      <c r="F45" s="849"/>
      <c r="G45" s="849"/>
      <c r="H45" s="849"/>
      <c r="I45" s="849"/>
      <c r="J45" s="850"/>
    </row>
    <row r="46" spans="1:10" ht="12" thickBot="1" x14ac:dyDescent="0.25">
      <c r="A46" s="855" t="s">
        <v>125</v>
      </c>
      <c r="B46" s="860"/>
      <c r="C46" s="861"/>
      <c r="D46" s="861"/>
      <c r="E46" s="861"/>
      <c r="F46" s="858"/>
      <c r="G46" s="858"/>
      <c r="H46" s="858"/>
      <c r="I46" s="858"/>
      <c r="J46" s="858"/>
    </row>
    <row r="47" spans="1:10" ht="12" thickBot="1" x14ac:dyDescent="0.25">
      <c r="A47" s="737" t="s">
        <v>692</v>
      </c>
      <c r="B47" s="738" t="s">
        <v>96</v>
      </c>
      <c r="C47" s="697">
        <f>C11+C16+IC17+C18+C21+C31+C35+C45+C17</f>
        <v>751210</v>
      </c>
      <c r="D47" s="697">
        <f>D11+D16+ID17+D18+D21+D31+D35+D45+D17</f>
        <v>158243</v>
      </c>
      <c r="E47" s="697">
        <f>E11+E16+IE17+E18+E21+E31+E35+E45+E17</f>
        <v>909453</v>
      </c>
      <c r="F47" s="849"/>
      <c r="G47" s="849"/>
      <c r="H47" s="849"/>
      <c r="I47" s="849"/>
      <c r="J47" s="850"/>
    </row>
    <row r="48" spans="1:10" x14ac:dyDescent="0.2">
      <c r="A48" s="833" t="s">
        <v>693</v>
      </c>
      <c r="B48" s="859"/>
      <c r="C48" s="841"/>
      <c r="D48" s="841"/>
      <c r="E48" s="841"/>
      <c r="F48" s="846"/>
      <c r="G48" s="846"/>
      <c r="H48" s="846"/>
      <c r="I48" s="846"/>
      <c r="J48" s="846"/>
    </row>
    <row r="49" spans="1:10" x14ac:dyDescent="0.2">
      <c r="A49" s="704" t="s">
        <v>128</v>
      </c>
      <c r="B49" s="828" t="s">
        <v>348</v>
      </c>
      <c r="C49" s="706"/>
      <c r="D49" s="706"/>
      <c r="E49" s="706"/>
      <c r="F49" s="822"/>
      <c r="G49" s="822"/>
      <c r="H49" s="822"/>
      <c r="I49" s="822"/>
      <c r="J49" s="822"/>
    </row>
    <row r="50" spans="1:10" x14ac:dyDescent="0.2">
      <c r="A50" s="704" t="s">
        <v>129</v>
      </c>
      <c r="B50" s="709" t="s">
        <v>1221</v>
      </c>
      <c r="C50" s="708">
        <v>1358</v>
      </c>
      <c r="D50" s="708"/>
      <c r="E50" s="708">
        <f>SUM(C50:D50)</f>
        <v>1358</v>
      </c>
      <c r="F50" s="822"/>
      <c r="G50" s="822"/>
      <c r="H50" s="822"/>
      <c r="I50" s="822"/>
      <c r="J50" s="822"/>
    </row>
    <row r="51" spans="1:10" ht="12" thickBot="1" x14ac:dyDescent="0.25">
      <c r="A51" s="731" t="s">
        <v>130</v>
      </c>
      <c r="B51" s="732" t="s">
        <v>19</v>
      </c>
      <c r="C51" s="772">
        <f>SUM(C50)</f>
        <v>1358</v>
      </c>
      <c r="D51" s="772">
        <f t="shared" ref="D51:E51" si="8">SUM(D50)</f>
        <v>0</v>
      </c>
      <c r="E51" s="772">
        <f t="shared" si="8"/>
        <v>1358</v>
      </c>
      <c r="F51" s="832"/>
      <c r="G51" s="832"/>
      <c r="H51" s="832"/>
      <c r="I51" s="832"/>
      <c r="J51" s="832"/>
    </row>
    <row r="52" spans="1:10" ht="12" thickBot="1" x14ac:dyDescent="0.25">
      <c r="A52" s="737" t="s">
        <v>133</v>
      </c>
      <c r="B52" s="738" t="s">
        <v>706</v>
      </c>
      <c r="C52" s="697">
        <f>SUM(C51)</f>
        <v>1358</v>
      </c>
      <c r="D52" s="697">
        <f>SUM(D51)</f>
        <v>0</v>
      </c>
      <c r="E52" s="697">
        <f>SUM(C52:D52)</f>
        <v>1358</v>
      </c>
      <c r="F52" s="849"/>
      <c r="G52" s="849"/>
      <c r="H52" s="849"/>
      <c r="I52" s="849"/>
      <c r="J52" s="850"/>
    </row>
    <row r="53" spans="1:10" x14ac:dyDescent="0.2">
      <c r="A53" s="833" t="s">
        <v>136</v>
      </c>
      <c r="B53" s="859"/>
      <c r="C53" s="841"/>
      <c r="D53" s="841"/>
      <c r="E53" s="841"/>
      <c r="F53" s="846"/>
      <c r="G53" s="846"/>
      <c r="H53" s="846"/>
      <c r="I53" s="846"/>
      <c r="J53" s="846"/>
    </row>
    <row r="54" spans="1:10" x14ac:dyDescent="0.2">
      <c r="A54" s="704" t="s">
        <v>137</v>
      </c>
      <c r="B54" s="828" t="s">
        <v>707</v>
      </c>
      <c r="C54" s="706"/>
      <c r="D54" s="706"/>
      <c r="E54" s="706"/>
      <c r="F54" s="822"/>
      <c r="G54" s="822"/>
      <c r="H54" s="822"/>
      <c r="I54" s="822"/>
      <c r="J54" s="822"/>
    </row>
    <row r="55" spans="1:10" x14ac:dyDescent="0.2">
      <c r="A55" s="704" t="s">
        <v>138</v>
      </c>
      <c r="B55" s="709" t="s">
        <v>176</v>
      </c>
      <c r="C55" s="708"/>
      <c r="D55" s="708">
        <v>1235</v>
      </c>
      <c r="E55" s="708">
        <f>SUM(C55:D55)</f>
        <v>1235</v>
      </c>
      <c r="F55" s="822"/>
      <c r="G55" s="822"/>
      <c r="H55" s="822"/>
      <c r="I55" s="822"/>
      <c r="J55" s="822"/>
    </row>
    <row r="56" spans="1:10" x14ac:dyDescent="0.2">
      <c r="A56" s="704" t="s">
        <v>139</v>
      </c>
      <c r="B56" s="709" t="s">
        <v>177</v>
      </c>
      <c r="C56" s="708"/>
      <c r="D56" s="708"/>
      <c r="E56" s="708"/>
      <c r="F56" s="822"/>
      <c r="G56" s="822"/>
      <c r="H56" s="822"/>
      <c r="I56" s="822"/>
      <c r="J56" s="822"/>
    </row>
    <row r="57" spans="1:10" ht="12" thickBot="1" x14ac:dyDescent="0.25">
      <c r="A57" s="731" t="s">
        <v>142</v>
      </c>
      <c r="B57" s="732" t="s">
        <v>19</v>
      </c>
      <c r="C57" s="772">
        <f>SUM(C55:C56)</f>
        <v>0</v>
      </c>
      <c r="D57" s="772">
        <f>SUM(D55:D56)</f>
        <v>1235</v>
      </c>
      <c r="E57" s="772">
        <f>SUM(E55:E56)</f>
        <v>1235</v>
      </c>
      <c r="F57" s="832"/>
      <c r="G57" s="832"/>
      <c r="H57" s="832"/>
      <c r="I57" s="832"/>
      <c r="J57" s="832"/>
    </row>
    <row r="58" spans="1:10" ht="12" thickBot="1" x14ac:dyDescent="0.25">
      <c r="A58" s="737" t="s">
        <v>145</v>
      </c>
      <c r="B58" s="738" t="s">
        <v>178</v>
      </c>
      <c r="C58" s="697">
        <f>C57</f>
        <v>0</v>
      </c>
      <c r="D58" s="697">
        <f>D57</f>
        <v>1235</v>
      </c>
      <c r="E58" s="697">
        <f>E57</f>
        <v>1235</v>
      </c>
      <c r="F58" s="849"/>
      <c r="G58" s="849"/>
      <c r="H58" s="849"/>
      <c r="I58" s="849"/>
      <c r="J58" s="850"/>
    </row>
    <row r="59" spans="1:10" x14ac:dyDescent="0.2">
      <c r="A59" s="833" t="s">
        <v>148</v>
      </c>
      <c r="B59" s="859"/>
      <c r="C59" s="845"/>
      <c r="D59" s="845"/>
      <c r="E59" s="845"/>
      <c r="F59" s="846"/>
      <c r="G59" s="846"/>
      <c r="H59" s="846"/>
      <c r="I59" s="846"/>
      <c r="J59" s="846"/>
    </row>
    <row r="60" spans="1:10" x14ac:dyDescent="0.2">
      <c r="A60" s="704" t="s">
        <v>149</v>
      </c>
      <c r="B60" s="828" t="s">
        <v>98</v>
      </c>
      <c r="C60" s="714"/>
      <c r="D60" s="714"/>
      <c r="E60" s="714"/>
      <c r="F60" s="822"/>
      <c r="G60" s="822"/>
      <c r="H60" s="822"/>
      <c r="I60" s="822"/>
      <c r="J60" s="822"/>
    </row>
    <row r="61" spans="1:10" x14ac:dyDescent="0.2">
      <c r="A61" s="704" t="s">
        <v>152</v>
      </c>
      <c r="B61" s="722" t="s">
        <v>17</v>
      </c>
      <c r="C61" s="714"/>
      <c r="D61" s="714"/>
      <c r="E61" s="714"/>
      <c r="F61" s="822"/>
      <c r="G61" s="822"/>
      <c r="H61" s="822"/>
      <c r="I61" s="822"/>
      <c r="J61" s="822"/>
    </row>
    <row r="62" spans="1:10" x14ac:dyDescent="0.2">
      <c r="A62" s="704" t="s">
        <v>153</v>
      </c>
      <c r="B62" s="709" t="s">
        <v>97</v>
      </c>
      <c r="C62" s="714">
        <v>10370</v>
      </c>
      <c r="D62" s="714"/>
      <c r="E62" s="714">
        <f>SUM(C62:D62)</f>
        <v>10370</v>
      </c>
      <c r="F62" s="822"/>
      <c r="G62" s="822"/>
      <c r="H62" s="822"/>
      <c r="I62" s="822"/>
      <c r="J62" s="822"/>
    </row>
    <row r="63" spans="1:10" x14ac:dyDescent="0.2">
      <c r="A63" s="704" t="s">
        <v>154</v>
      </c>
      <c r="B63" s="709" t="s">
        <v>317</v>
      </c>
      <c r="C63" s="714">
        <v>9089</v>
      </c>
      <c r="D63" s="714"/>
      <c r="E63" s="714">
        <f>SUM(C63:D63)</f>
        <v>9089</v>
      </c>
      <c r="F63" s="822"/>
      <c r="G63" s="822"/>
      <c r="H63" s="822"/>
      <c r="I63" s="822"/>
      <c r="J63" s="822"/>
    </row>
    <row r="64" spans="1:10" x14ac:dyDescent="0.2">
      <c r="A64" s="704" t="s">
        <v>155</v>
      </c>
      <c r="B64" s="709" t="s">
        <v>318</v>
      </c>
      <c r="C64" s="714">
        <v>432</v>
      </c>
      <c r="D64" s="714"/>
      <c r="E64" s="714">
        <f>SUM(C64:D64)</f>
        <v>432</v>
      </c>
      <c r="F64" s="822"/>
      <c r="G64" s="822"/>
      <c r="H64" s="822"/>
      <c r="I64" s="822"/>
      <c r="J64" s="822"/>
    </row>
    <row r="65" spans="1:10" x14ac:dyDescent="0.2">
      <c r="A65" s="704" t="s">
        <v>156</v>
      </c>
      <c r="B65" s="709" t="s">
        <v>177</v>
      </c>
      <c r="C65" s="714"/>
      <c r="D65" s="714"/>
      <c r="E65" s="714"/>
      <c r="F65" s="822"/>
      <c r="G65" s="822"/>
      <c r="H65" s="822"/>
      <c r="I65" s="822"/>
      <c r="J65" s="822"/>
    </row>
    <row r="66" spans="1:10" x14ac:dyDescent="0.2">
      <c r="A66" s="704" t="s">
        <v>158</v>
      </c>
      <c r="B66" s="709" t="s">
        <v>176</v>
      </c>
      <c r="C66" s="714"/>
      <c r="D66" s="714">
        <v>1386</v>
      </c>
      <c r="E66" s="714">
        <f>SUM(C66:D66)</f>
        <v>1386</v>
      </c>
      <c r="F66" s="822"/>
      <c r="G66" s="822"/>
      <c r="H66" s="822"/>
      <c r="I66" s="822"/>
      <c r="J66" s="822"/>
    </row>
    <row r="67" spans="1:10" ht="12" thickBot="1" x14ac:dyDescent="0.25">
      <c r="A67" s="731" t="s">
        <v>161</v>
      </c>
      <c r="B67" s="732" t="s">
        <v>19</v>
      </c>
      <c r="C67" s="734">
        <f>SUM(C62:C66)</f>
        <v>19891</v>
      </c>
      <c r="D67" s="734">
        <f>SUM(D62:D66)</f>
        <v>1386</v>
      </c>
      <c r="E67" s="734">
        <f>SUM(E62:E66)</f>
        <v>21277</v>
      </c>
      <c r="F67" s="832"/>
      <c r="G67" s="832"/>
      <c r="H67" s="832"/>
      <c r="I67" s="832"/>
      <c r="J67" s="832"/>
    </row>
    <row r="68" spans="1:10" ht="12" thickBot="1" x14ac:dyDescent="0.25">
      <c r="A68" s="737" t="s">
        <v>163</v>
      </c>
      <c r="B68" s="863" t="s">
        <v>99</v>
      </c>
      <c r="C68" s="739">
        <f>C67</f>
        <v>19891</v>
      </c>
      <c r="D68" s="739">
        <f>D67</f>
        <v>1386</v>
      </c>
      <c r="E68" s="739">
        <f>E67</f>
        <v>21277</v>
      </c>
      <c r="F68" s="849"/>
      <c r="G68" s="849"/>
      <c r="H68" s="849"/>
      <c r="I68" s="849"/>
      <c r="J68" s="850"/>
    </row>
    <row r="69" spans="1:10" s="9" customFormat="1" x14ac:dyDescent="0.2">
      <c r="A69" s="833" t="s">
        <v>164</v>
      </c>
      <c r="B69" s="859"/>
      <c r="C69" s="862"/>
      <c r="D69" s="862"/>
      <c r="E69" s="862"/>
      <c r="F69" s="836"/>
      <c r="G69" s="836"/>
      <c r="H69" s="836"/>
      <c r="I69" s="836"/>
      <c r="J69" s="836"/>
    </row>
    <row r="70" spans="1:10" s="9" customFormat="1" x14ac:dyDescent="0.2">
      <c r="A70" s="704" t="s">
        <v>165</v>
      </c>
      <c r="B70" s="722" t="s">
        <v>18</v>
      </c>
      <c r="C70" s="720">
        <f>C37+C57+C67+C51</f>
        <v>31477</v>
      </c>
      <c r="D70" s="720">
        <f t="shared" ref="D70:E70" si="9">D37+D57+D67+D51</f>
        <v>5071</v>
      </c>
      <c r="E70" s="720">
        <f t="shared" si="9"/>
        <v>36548</v>
      </c>
      <c r="F70" s="823"/>
      <c r="G70" s="823"/>
      <c r="H70" s="823"/>
      <c r="I70" s="823"/>
      <c r="J70" s="823"/>
    </row>
    <row r="71" spans="1:10" x14ac:dyDescent="0.2">
      <c r="A71" s="704" t="s">
        <v>1222</v>
      </c>
      <c r="B71" s="722" t="s">
        <v>100</v>
      </c>
      <c r="C71" s="706">
        <f>C45</f>
        <v>0</v>
      </c>
      <c r="D71" s="706">
        <f>D45</f>
        <v>62024</v>
      </c>
      <c r="E71" s="706">
        <f>E45</f>
        <v>62024</v>
      </c>
      <c r="F71" s="822"/>
      <c r="G71" s="822"/>
      <c r="H71" s="822"/>
      <c r="I71" s="822"/>
      <c r="J71" s="822"/>
    </row>
    <row r="72" spans="1:10" ht="12" thickBot="1" x14ac:dyDescent="0.25">
      <c r="A72" s="731" t="s">
        <v>1223</v>
      </c>
      <c r="B72" s="732"/>
      <c r="C72" s="831"/>
      <c r="D72" s="831"/>
      <c r="E72" s="831"/>
      <c r="F72" s="832"/>
      <c r="G72" s="832"/>
      <c r="H72" s="832"/>
      <c r="I72" s="832"/>
      <c r="J72" s="832"/>
    </row>
    <row r="73" spans="1:10" s="10" customFormat="1" ht="12" thickBot="1" x14ac:dyDescent="0.25">
      <c r="A73" s="737" t="s">
        <v>1224</v>
      </c>
      <c r="B73" s="738" t="s">
        <v>102</v>
      </c>
      <c r="C73" s="697">
        <f>C47+C68+C58+C52</f>
        <v>772459</v>
      </c>
      <c r="D73" s="697">
        <f t="shared" ref="D73:E73" si="10">D47+D68+D58+D52</f>
        <v>160864</v>
      </c>
      <c r="E73" s="697">
        <f t="shared" si="10"/>
        <v>933323</v>
      </c>
      <c r="F73" s="864"/>
      <c r="G73" s="864"/>
      <c r="H73" s="864"/>
      <c r="I73" s="864"/>
      <c r="J73" s="742"/>
    </row>
    <row r="74" spans="1:10" s="10" customFormat="1" x14ac:dyDescent="0.2">
      <c r="A74" s="120"/>
      <c r="B74" s="116"/>
      <c r="C74" s="117"/>
      <c r="D74" s="400"/>
      <c r="E74" s="400"/>
      <c r="I74" s="205"/>
    </row>
    <row r="75" spans="1:10" x14ac:dyDescent="0.2">
      <c r="B75" s="116"/>
    </row>
    <row r="76" spans="1:10" x14ac:dyDescent="0.2">
      <c r="B76" s="116"/>
      <c r="G76" s="589"/>
    </row>
    <row r="77" spans="1:10" x14ac:dyDescent="0.2">
      <c r="B77" s="128"/>
      <c r="G77" s="589"/>
    </row>
    <row r="78" spans="1:10" x14ac:dyDescent="0.2">
      <c r="B78" s="128"/>
    </row>
    <row r="80" spans="1:10" x14ac:dyDescent="0.2">
      <c r="B80" s="128"/>
    </row>
    <row r="81" spans="2:2" x14ac:dyDescent="0.2">
      <c r="B81" s="128"/>
    </row>
    <row r="82" spans="2:2" x14ac:dyDescent="0.2">
      <c r="B82" s="128"/>
    </row>
    <row r="83" spans="2:2" x14ac:dyDescent="0.2">
      <c r="B83" s="128"/>
    </row>
    <row r="84" spans="2:2" x14ac:dyDescent="0.2">
      <c r="B84" s="128"/>
    </row>
    <row r="85" spans="2:2" x14ac:dyDescent="0.2">
      <c r="B85" s="116"/>
    </row>
    <row r="86" spans="2:2" x14ac:dyDescent="0.2">
      <c r="B86" s="128"/>
    </row>
    <row r="87" spans="2:2" x14ac:dyDescent="0.2">
      <c r="B87" s="128"/>
    </row>
    <row r="88" spans="2:2" x14ac:dyDescent="0.2">
      <c r="B88" s="128"/>
    </row>
    <row r="89" spans="2:2" x14ac:dyDescent="0.2">
      <c r="B89" s="128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32" customWidth="1"/>
    <col min="2" max="2" width="9.85546875" style="132" hidden="1" customWidth="1"/>
    <col min="3" max="3" width="11.7109375" style="132" hidden="1" customWidth="1"/>
    <col min="4" max="4" width="9.85546875" style="132" hidden="1" customWidth="1"/>
    <col min="5" max="5" width="15.85546875" style="13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433" t="s">
        <v>311</v>
      </c>
      <c r="B1" s="1433"/>
      <c r="C1" s="1433"/>
      <c r="D1" s="1433"/>
      <c r="E1" s="1433"/>
      <c r="F1" s="1433"/>
      <c r="G1" s="1433"/>
      <c r="H1" s="1433"/>
      <c r="I1" s="1433"/>
    </row>
    <row r="2" spans="1:256" x14ac:dyDescent="0.2">
      <c r="F2" s="1443"/>
      <c r="G2" s="1443"/>
      <c r="H2" s="1443"/>
      <c r="I2" s="1443"/>
    </row>
    <row r="4" spans="1:256" ht="30" customHeight="1" x14ac:dyDescent="0.2">
      <c r="A4" s="1444" t="s">
        <v>78</v>
      </c>
      <c r="B4" s="1444"/>
      <c r="C4" s="1444"/>
      <c r="D4" s="1444"/>
      <c r="E4" s="1444"/>
      <c r="F4" s="1445"/>
      <c r="G4" s="1445"/>
      <c r="H4" s="1445"/>
      <c r="I4" s="1445"/>
    </row>
    <row r="5" spans="1:256" ht="33" customHeight="1" x14ac:dyDescent="0.2">
      <c r="A5" s="1444" t="s">
        <v>1129</v>
      </c>
      <c r="B5" s="1444"/>
      <c r="C5" s="1444"/>
      <c r="D5" s="1444"/>
      <c r="E5" s="1444"/>
      <c r="F5" s="1445"/>
      <c r="G5" s="1445"/>
      <c r="H5" s="1445"/>
      <c r="I5" s="1445"/>
    </row>
    <row r="7" spans="1:256" ht="13.5" thickBot="1" x14ac:dyDescent="0.25">
      <c r="E7" s="385" t="s">
        <v>20</v>
      </c>
      <c r="F7" s="607"/>
    </row>
    <row r="8" spans="1:256" ht="30.75" customHeight="1" thickBot="1" x14ac:dyDescent="0.25">
      <c r="A8" s="1436" t="s">
        <v>79</v>
      </c>
      <c r="B8" s="1438" t="s">
        <v>116</v>
      </c>
      <c r="C8" s="1439"/>
      <c r="D8" s="1439"/>
      <c r="E8" s="1439"/>
      <c r="F8" s="1440" t="s">
        <v>1083</v>
      </c>
      <c r="G8" s="1441"/>
      <c r="H8" s="1441"/>
      <c r="I8" s="1442"/>
    </row>
    <row r="9" spans="1:256" ht="36.75" thickBot="1" x14ac:dyDescent="0.25">
      <c r="A9" s="1437"/>
      <c r="B9" s="200" t="s">
        <v>80</v>
      </c>
      <c r="C9" s="133" t="s">
        <v>81</v>
      </c>
      <c r="D9" s="133" t="s">
        <v>721</v>
      </c>
      <c r="E9" s="201" t="s">
        <v>82</v>
      </c>
      <c r="F9" s="200" t="s">
        <v>80</v>
      </c>
      <c r="G9" s="133" t="s">
        <v>81</v>
      </c>
      <c r="H9" s="133" t="s">
        <v>721</v>
      </c>
      <c r="I9" s="201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397" t="s">
        <v>83</v>
      </c>
      <c r="B10" s="398"/>
      <c r="C10" s="398"/>
      <c r="D10" s="398"/>
      <c r="E10" s="398"/>
      <c r="F10" s="399"/>
      <c r="G10" s="399"/>
      <c r="H10" s="399"/>
      <c r="I10" s="399"/>
      <c r="J10" s="421"/>
    </row>
    <row r="11" spans="1:256" ht="12.75" x14ac:dyDescent="0.2">
      <c r="A11" s="392" t="s">
        <v>861</v>
      </c>
      <c r="B11" s="484"/>
      <c r="C11" s="484"/>
      <c r="D11" s="484"/>
      <c r="E11" s="484"/>
      <c r="F11" s="541"/>
      <c r="G11" s="541"/>
      <c r="H11" s="541"/>
      <c r="I11" s="541"/>
      <c r="J11" s="421"/>
    </row>
    <row r="12" spans="1:256" ht="36" x14ac:dyDescent="0.2">
      <c r="A12" s="481" t="s">
        <v>862</v>
      </c>
      <c r="B12" s="484">
        <v>4865</v>
      </c>
      <c r="C12" s="542">
        <v>18.690000000000001</v>
      </c>
      <c r="D12" s="484">
        <v>4580000</v>
      </c>
      <c r="E12" s="484">
        <f>C12*D12</f>
        <v>85600200</v>
      </c>
      <c r="F12" s="585" t="s">
        <v>1084</v>
      </c>
      <c r="G12" s="387">
        <v>18.32</v>
      </c>
      <c r="H12" s="387">
        <v>4580000</v>
      </c>
      <c r="I12" s="388">
        <f>G12*H12</f>
        <v>83905600</v>
      </c>
      <c r="J12" s="421"/>
    </row>
    <row r="13" spans="1:256" ht="12.75" x14ac:dyDescent="0.2">
      <c r="A13" s="392" t="s">
        <v>863</v>
      </c>
      <c r="B13" s="484"/>
      <c r="C13" s="484"/>
      <c r="D13" s="484"/>
      <c r="E13" s="484"/>
      <c r="F13" s="441"/>
      <c r="G13" s="489"/>
      <c r="H13" s="489"/>
      <c r="I13" s="441"/>
      <c r="J13" s="421"/>
    </row>
    <row r="14" spans="1:256" ht="12.75" x14ac:dyDescent="0.2">
      <c r="A14" s="481" t="s">
        <v>864</v>
      </c>
      <c r="B14" s="484"/>
      <c r="C14" s="493"/>
      <c r="D14" s="484" t="s">
        <v>312</v>
      </c>
      <c r="E14" s="484">
        <v>8328800</v>
      </c>
      <c r="F14" s="441"/>
      <c r="G14" s="489"/>
      <c r="H14" s="387" t="s">
        <v>312</v>
      </c>
      <c r="I14" s="388">
        <v>8329050</v>
      </c>
      <c r="J14" s="421"/>
    </row>
    <row r="15" spans="1:256" ht="12.75" x14ac:dyDescent="0.2">
      <c r="A15" s="481" t="s">
        <v>865</v>
      </c>
      <c r="B15" s="389"/>
      <c r="C15" s="390"/>
      <c r="D15" s="389"/>
      <c r="E15" s="389"/>
      <c r="F15" s="388"/>
      <c r="G15" s="387"/>
      <c r="H15" s="387"/>
      <c r="I15" s="388">
        <v>-8329050</v>
      </c>
      <c r="J15" s="421"/>
    </row>
    <row r="16" spans="1:256" ht="24" x14ac:dyDescent="0.2">
      <c r="A16" s="481" t="s">
        <v>866</v>
      </c>
      <c r="B16" s="389"/>
      <c r="C16" s="390"/>
      <c r="D16" s="389"/>
      <c r="E16" s="389"/>
      <c r="F16" s="388"/>
      <c r="G16" s="387"/>
      <c r="H16" s="387"/>
      <c r="I16" s="388">
        <f>I14+I15</f>
        <v>0</v>
      </c>
      <c r="J16" s="421"/>
    </row>
    <row r="17" spans="1:10" ht="12.75" x14ac:dyDescent="0.2">
      <c r="A17" s="392" t="s">
        <v>867</v>
      </c>
      <c r="B17" s="484"/>
      <c r="C17" s="484"/>
      <c r="D17" s="545" t="s">
        <v>313</v>
      </c>
      <c r="E17" s="484">
        <v>18272000</v>
      </c>
      <c r="F17" s="441"/>
      <c r="G17" s="489"/>
      <c r="H17" s="387" t="s">
        <v>314</v>
      </c>
      <c r="I17" s="388">
        <v>18304000</v>
      </c>
      <c r="J17" s="421"/>
    </row>
    <row r="18" spans="1:10" ht="12.75" x14ac:dyDescent="0.2">
      <c r="A18" s="392" t="s">
        <v>865</v>
      </c>
      <c r="B18" s="389"/>
      <c r="C18" s="389"/>
      <c r="D18" s="483"/>
      <c r="E18" s="389"/>
      <c r="F18" s="388"/>
      <c r="G18" s="387"/>
      <c r="H18" s="387"/>
      <c r="I18" s="388">
        <v>-18304000</v>
      </c>
      <c r="J18" s="421"/>
    </row>
    <row r="19" spans="1:10" ht="12.75" x14ac:dyDescent="0.2">
      <c r="A19" s="392" t="s">
        <v>868</v>
      </c>
      <c r="B19" s="389"/>
      <c r="C19" s="389"/>
      <c r="D19" s="483"/>
      <c r="E19" s="389"/>
      <c r="F19" s="388"/>
      <c r="G19" s="387"/>
      <c r="H19" s="387"/>
      <c r="I19" s="388">
        <f>I17+I18</f>
        <v>0</v>
      </c>
      <c r="J19" s="421"/>
    </row>
    <row r="20" spans="1:10" ht="12.75" x14ac:dyDescent="0.2">
      <c r="A20" s="392" t="s">
        <v>869</v>
      </c>
      <c r="B20" s="484"/>
      <c r="C20" s="484" t="s">
        <v>870</v>
      </c>
      <c r="D20" s="485" t="s">
        <v>722</v>
      </c>
      <c r="E20" s="484">
        <v>1355022</v>
      </c>
      <c r="F20" s="441"/>
      <c r="G20" s="484"/>
      <c r="H20" s="486" t="s">
        <v>722</v>
      </c>
      <c r="I20" s="388">
        <v>1355022</v>
      </c>
      <c r="J20" s="421"/>
    </row>
    <row r="21" spans="1:10" ht="12.75" x14ac:dyDescent="0.2">
      <c r="A21" s="392" t="s">
        <v>871</v>
      </c>
      <c r="B21" s="389"/>
      <c r="C21" s="389"/>
      <c r="D21" s="486"/>
      <c r="E21" s="389"/>
      <c r="F21" s="388"/>
      <c r="G21" s="389"/>
      <c r="H21" s="486"/>
      <c r="I21" s="388">
        <v>-1355022</v>
      </c>
      <c r="J21" s="421"/>
    </row>
    <row r="22" spans="1:10" ht="12.75" x14ac:dyDescent="0.2">
      <c r="A22" s="392" t="s">
        <v>872</v>
      </c>
      <c r="B22" s="389"/>
      <c r="C22" s="389"/>
      <c r="D22" s="486"/>
      <c r="E22" s="389"/>
      <c r="F22" s="388"/>
      <c r="G22" s="389"/>
      <c r="H22" s="486"/>
      <c r="I22" s="388">
        <f>I20+I21</f>
        <v>0</v>
      </c>
      <c r="J22" s="421"/>
    </row>
    <row r="23" spans="1:10" ht="12.75" x14ac:dyDescent="0.2">
      <c r="A23" s="392" t="s">
        <v>873</v>
      </c>
      <c r="B23" s="484"/>
      <c r="C23" s="493"/>
      <c r="D23" s="545" t="s">
        <v>723</v>
      </c>
      <c r="E23" s="484">
        <v>6369620</v>
      </c>
      <c r="F23" s="441"/>
      <c r="G23" s="489"/>
      <c r="H23" s="483" t="s">
        <v>723</v>
      </c>
      <c r="I23" s="388">
        <v>6369620</v>
      </c>
      <c r="J23" s="421"/>
    </row>
    <row r="24" spans="1:10" ht="12.75" x14ac:dyDescent="0.2">
      <c r="A24" s="392" t="s">
        <v>871</v>
      </c>
      <c r="B24" s="389"/>
      <c r="C24" s="390"/>
      <c r="D24" s="483"/>
      <c r="E24" s="389"/>
      <c r="F24" s="388"/>
      <c r="G24" s="387"/>
      <c r="H24" s="483"/>
      <c r="I24" s="388">
        <v>-6369620</v>
      </c>
      <c r="J24" s="421"/>
    </row>
    <row r="25" spans="1:10" ht="12.75" x14ac:dyDescent="0.2">
      <c r="A25" s="392" t="s">
        <v>874</v>
      </c>
      <c r="B25" s="389"/>
      <c r="C25" s="390"/>
      <c r="D25" s="483"/>
      <c r="E25" s="389"/>
      <c r="F25" s="388"/>
      <c r="G25" s="387"/>
      <c r="H25" s="483"/>
      <c r="I25" s="388">
        <f>I23+I24</f>
        <v>0</v>
      </c>
      <c r="J25" s="421"/>
    </row>
    <row r="26" spans="1:10" ht="12.75" x14ac:dyDescent="0.2">
      <c r="A26" s="392" t="s">
        <v>875</v>
      </c>
      <c r="B26" s="484">
        <v>4865</v>
      </c>
      <c r="C26" s="484"/>
      <c r="D26" s="484">
        <v>2700</v>
      </c>
      <c r="E26" s="484">
        <f>B26*D26</f>
        <v>13135500</v>
      </c>
      <c r="F26" s="388">
        <v>4705</v>
      </c>
      <c r="G26" s="489"/>
      <c r="H26" s="389">
        <v>2700</v>
      </c>
      <c r="I26" s="388">
        <f>F26*H26</f>
        <v>12703500</v>
      </c>
      <c r="J26" s="421"/>
    </row>
    <row r="27" spans="1:10" ht="12.75" x14ac:dyDescent="0.2">
      <c r="A27" s="392" t="s">
        <v>876</v>
      </c>
      <c r="B27" s="389"/>
      <c r="C27" s="389"/>
      <c r="D27" s="389"/>
      <c r="E27" s="389">
        <v>-13135500</v>
      </c>
      <c r="F27" s="388"/>
      <c r="G27" s="387"/>
      <c r="H27" s="387"/>
      <c r="I27" s="388">
        <v>-12703500</v>
      </c>
      <c r="J27" s="421"/>
    </row>
    <row r="28" spans="1:10" ht="12.75" x14ac:dyDescent="0.2">
      <c r="A28" s="392" t="s">
        <v>877</v>
      </c>
      <c r="B28" s="389"/>
      <c r="C28" s="389"/>
      <c r="D28" s="389"/>
      <c r="E28" s="389">
        <f>E26+E27</f>
        <v>0</v>
      </c>
      <c r="F28" s="388"/>
      <c r="G28" s="387"/>
      <c r="H28" s="387"/>
      <c r="I28" s="388">
        <f>I26+I27</f>
        <v>0</v>
      </c>
      <c r="J28" s="421"/>
    </row>
    <row r="29" spans="1:10" ht="12.75" x14ac:dyDescent="0.2">
      <c r="A29" s="392" t="s">
        <v>878</v>
      </c>
      <c r="B29" s="484">
        <v>10</v>
      </c>
      <c r="C29" s="484"/>
      <c r="D29" s="484" t="s">
        <v>315</v>
      </c>
      <c r="E29" s="487">
        <v>25500</v>
      </c>
      <c r="F29" s="608">
        <v>21</v>
      </c>
      <c r="G29" s="489"/>
      <c r="H29" s="389" t="s">
        <v>315</v>
      </c>
      <c r="I29" s="608">
        <v>53550</v>
      </c>
      <c r="J29" s="421"/>
    </row>
    <row r="30" spans="1:10" ht="12.75" x14ac:dyDescent="0.2">
      <c r="A30" s="392" t="s">
        <v>879</v>
      </c>
      <c r="B30" s="389"/>
      <c r="C30" s="389"/>
      <c r="D30" s="389"/>
      <c r="E30" s="389">
        <v>-25500</v>
      </c>
      <c r="F30" s="388"/>
      <c r="G30" s="387"/>
      <c r="H30" s="387"/>
      <c r="I30" s="608">
        <v>-53550</v>
      </c>
      <c r="J30" s="421"/>
    </row>
    <row r="31" spans="1:10" ht="12.75" x14ac:dyDescent="0.2">
      <c r="A31" s="392" t="s">
        <v>880</v>
      </c>
      <c r="B31" s="484"/>
      <c r="C31" s="484"/>
      <c r="D31" s="484"/>
      <c r="E31" s="487">
        <v>0</v>
      </c>
      <c r="F31" s="441"/>
      <c r="G31" s="489"/>
      <c r="H31" s="489"/>
      <c r="I31" s="608">
        <f>I29+I30</f>
        <v>0</v>
      </c>
      <c r="J31" s="421"/>
    </row>
    <row r="32" spans="1:10" ht="12.75" x14ac:dyDescent="0.2">
      <c r="A32" s="544" t="s">
        <v>989</v>
      </c>
      <c r="B32" s="484"/>
      <c r="C32" s="484">
        <v>487729000</v>
      </c>
      <c r="D32" s="493">
        <v>1.55</v>
      </c>
      <c r="E32" s="484">
        <f>C32*D32</f>
        <v>755979950</v>
      </c>
      <c r="F32" s="441"/>
      <c r="G32" s="388">
        <v>540752027</v>
      </c>
      <c r="H32" s="390">
        <v>1</v>
      </c>
      <c r="I32" s="388">
        <f>G32*H32</f>
        <v>540752027</v>
      </c>
      <c r="J32" s="421"/>
    </row>
    <row r="33" spans="1:18" ht="12.75" x14ac:dyDescent="0.2">
      <c r="A33" s="392" t="s">
        <v>876</v>
      </c>
      <c r="B33" s="389"/>
      <c r="C33" s="389"/>
      <c r="D33" s="393"/>
      <c r="E33" s="389">
        <v>-98054262</v>
      </c>
      <c r="F33" s="388"/>
      <c r="G33" s="387"/>
      <c r="H33" s="387"/>
      <c r="I33" s="608">
        <v>-76318159</v>
      </c>
      <c r="J33" s="421"/>
    </row>
    <row r="34" spans="1:18" ht="12.75" x14ac:dyDescent="0.2">
      <c r="A34" s="392" t="s">
        <v>882</v>
      </c>
      <c r="B34" s="484"/>
      <c r="C34" s="484"/>
      <c r="D34" s="498"/>
      <c r="E34" s="484">
        <f>E32+E33</f>
        <v>657925688</v>
      </c>
      <c r="F34" s="441"/>
      <c r="G34" s="489"/>
      <c r="H34" s="489"/>
      <c r="I34" s="608">
        <f>I32+I33</f>
        <v>464433868</v>
      </c>
      <c r="J34" s="421"/>
    </row>
    <row r="35" spans="1:18" ht="12.75" x14ac:dyDescent="0.2">
      <c r="A35" s="488" t="s">
        <v>1085</v>
      </c>
      <c r="B35" s="484"/>
      <c r="C35" s="484"/>
      <c r="D35" s="484"/>
      <c r="E35" s="484">
        <v>0</v>
      </c>
      <c r="F35" s="441"/>
      <c r="G35" s="489"/>
      <c r="H35" s="489"/>
      <c r="I35" s="388">
        <v>0</v>
      </c>
      <c r="J35" s="421"/>
      <c r="K35" s="609">
        <f>I12+I16+I19+I25+I28+I31+I34+I35</f>
        <v>548339468</v>
      </c>
      <c r="L35" s="6" t="s">
        <v>957</v>
      </c>
    </row>
    <row r="36" spans="1:18" ht="24" x14ac:dyDescent="0.2">
      <c r="A36" s="481" t="s">
        <v>1086</v>
      </c>
      <c r="B36" s="484"/>
      <c r="C36" s="484"/>
      <c r="D36" s="484"/>
      <c r="E36" s="484"/>
      <c r="F36" s="441"/>
      <c r="G36" s="489"/>
      <c r="H36" s="489"/>
      <c r="I36" s="388">
        <v>0</v>
      </c>
      <c r="J36" s="421"/>
      <c r="K36" s="490"/>
    </row>
    <row r="37" spans="1:18" ht="12.75" x14ac:dyDescent="0.2">
      <c r="A37" s="488"/>
      <c r="B37" s="484"/>
      <c r="C37" s="484"/>
      <c r="D37" s="484"/>
      <c r="E37" s="484"/>
      <c r="F37" s="441"/>
      <c r="G37" s="489"/>
      <c r="H37" s="489"/>
      <c r="I37" s="441"/>
      <c r="J37" s="421"/>
      <c r="K37" s="490"/>
    </row>
    <row r="38" spans="1:18" ht="12.75" x14ac:dyDescent="0.2">
      <c r="A38" s="491" t="s">
        <v>84</v>
      </c>
      <c r="B38" s="484"/>
      <c r="C38" s="484"/>
      <c r="D38" s="484"/>
      <c r="E38" s="484"/>
      <c r="F38" s="441"/>
      <c r="G38" s="489"/>
      <c r="H38" s="489"/>
      <c r="I38" s="441"/>
      <c r="J38" s="421"/>
    </row>
    <row r="39" spans="1:18" ht="24" x14ac:dyDescent="0.2">
      <c r="A39" s="481" t="s">
        <v>884</v>
      </c>
      <c r="B39" s="484"/>
      <c r="C39" s="484"/>
      <c r="D39" s="484"/>
      <c r="E39" s="484"/>
      <c r="F39" s="441"/>
      <c r="G39" s="489"/>
      <c r="H39" s="489"/>
      <c r="I39" s="441"/>
      <c r="J39" s="421"/>
    </row>
    <row r="40" spans="1:18" ht="12.75" x14ac:dyDescent="0.2">
      <c r="A40" s="481" t="s">
        <v>885</v>
      </c>
      <c r="B40" s="484"/>
      <c r="C40" s="493">
        <v>13.1</v>
      </c>
      <c r="D40" s="484">
        <v>4152000</v>
      </c>
      <c r="E40" s="484">
        <f>C40*D40*8/12</f>
        <v>36260800</v>
      </c>
      <c r="F40" s="610" t="s">
        <v>1130</v>
      </c>
      <c r="G40" s="611">
        <v>12.5</v>
      </c>
      <c r="H40" s="603">
        <v>4419000</v>
      </c>
      <c r="I40" s="608">
        <f>G40*8/12*4419000</f>
        <v>36825000</v>
      </c>
      <c r="J40" s="421"/>
    </row>
    <row r="41" spans="1:18" ht="12.75" x14ac:dyDescent="0.2">
      <c r="A41" s="481" t="s">
        <v>886</v>
      </c>
      <c r="B41" s="484"/>
      <c r="C41" s="493">
        <v>13.1</v>
      </c>
      <c r="D41" s="494">
        <v>4152000</v>
      </c>
      <c r="E41" s="484">
        <f>C41*D41*4/12</f>
        <v>18130400</v>
      </c>
      <c r="F41" s="610" t="s">
        <v>1130</v>
      </c>
      <c r="G41" s="612">
        <v>12.5</v>
      </c>
      <c r="H41" s="603">
        <v>4419000</v>
      </c>
      <c r="I41" s="608">
        <f>G41*4/12*H41</f>
        <v>18412500</v>
      </c>
      <c r="J41" s="421"/>
    </row>
    <row r="42" spans="1:18" ht="24" x14ac:dyDescent="0.2">
      <c r="A42" s="481" t="s">
        <v>887</v>
      </c>
      <c r="B42" s="484"/>
      <c r="C42" s="484">
        <v>10</v>
      </c>
      <c r="D42" s="484">
        <v>1800000</v>
      </c>
      <c r="E42" s="487">
        <f>C42*D42*8/12</f>
        <v>12000000</v>
      </c>
      <c r="F42" s="543"/>
      <c r="G42" s="492">
        <v>9</v>
      </c>
      <c r="H42" s="603">
        <v>2205000</v>
      </c>
      <c r="I42" s="388">
        <f>G42*H42*8/12</f>
        <v>13230000</v>
      </c>
      <c r="J42" s="421"/>
    </row>
    <row r="43" spans="1:18" ht="24" x14ac:dyDescent="0.2">
      <c r="A43" s="481" t="s">
        <v>990</v>
      </c>
      <c r="B43" s="484"/>
      <c r="C43" s="484"/>
      <c r="D43" s="484"/>
      <c r="E43" s="487"/>
      <c r="F43" s="441"/>
      <c r="G43" s="492">
        <v>0</v>
      </c>
      <c r="H43" s="603">
        <v>4419000</v>
      </c>
      <c r="I43" s="388">
        <f>G43*H43*8/12</f>
        <v>0</v>
      </c>
      <c r="J43" s="421"/>
    </row>
    <row r="44" spans="1:18" ht="24" x14ac:dyDescent="0.2">
      <c r="A44" s="481" t="s">
        <v>889</v>
      </c>
      <c r="B44" s="484"/>
      <c r="C44" s="484">
        <v>10</v>
      </c>
      <c r="D44" s="484">
        <v>1800000</v>
      </c>
      <c r="E44" s="484">
        <f>C44*D44*4/12</f>
        <v>6000000</v>
      </c>
      <c r="F44" s="441"/>
      <c r="G44" s="492">
        <v>9</v>
      </c>
      <c r="H44" s="603">
        <v>2205000</v>
      </c>
      <c r="I44" s="388">
        <f>G44*H44*4/12</f>
        <v>6615000</v>
      </c>
      <c r="J44" s="422"/>
    </row>
    <row r="45" spans="1:18" ht="39" x14ac:dyDescent="0.2">
      <c r="A45" s="481" t="s">
        <v>991</v>
      </c>
      <c r="B45" s="484"/>
      <c r="C45" s="484"/>
      <c r="D45" s="484"/>
      <c r="E45" s="484"/>
      <c r="F45" s="441"/>
      <c r="G45" s="492">
        <v>0</v>
      </c>
      <c r="H45" s="603">
        <v>4419000</v>
      </c>
      <c r="I45" s="388">
        <f>G45*H45*4/12</f>
        <v>0</v>
      </c>
      <c r="J45" s="422"/>
      <c r="K45" s="591" t="s">
        <v>958</v>
      </c>
      <c r="L45" s="490">
        <f>I12+I14+I17+I20+I23+I26+I29+I32</f>
        <v>671772369</v>
      </c>
      <c r="N45" s="592" t="s">
        <v>1131</v>
      </c>
      <c r="O45" s="490">
        <v>123432901</v>
      </c>
      <c r="P45" s="490">
        <f>I15+I18+I21+I24+I27+I30</f>
        <v>-47114742</v>
      </c>
      <c r="Q45" s="490">
        <f>O45+P45</f>
        <v>76318159</v>
      </c>
      <c r="R45" s="592" t="s">
        <v>959</v>
      </c>
    </row>
    <row r="46" spans="1:18" ht="12.75" x14ac:dyDescent="0.2">
      <c r="A46" s="392" t="s">
        <v>892</v>
      </c>
      <c r="B46" s="484"/>
      <c r="C46" s="484"/>
      <c r="D46" s="484"/>
      <c r="E46" s="484"/>
      <c r="F46" s="441"/>
      <c r="G46" s="489"/>
      <c r="H46" s="489"/>
      <c r="I46" s="441"/>
      <c r="J46" s="421"/>
    </row>
    <row r="47" spans="1:18" ht="24" x14ac:dyDescent="0.2">
      <c r="A47" s="481" t="s">
        <v>992</v>
      </c>
      <c r="B47" s="484"/>
      <c r="C47" s="484">
        <v>142</v>
      </c>
      <c r="D47" s="484">
        <v>70000</v>
      </c>
      <c r="E47" s="484">
        <f>C47*D47*8/12</f>
        <v>6626666.666666667</v>
      </c>
      <c r="F47" s="585"/>
      <c r="G47" s="608">
        <v>138</v>
      </c>
      <c r="H47" s="389">
        <v>81700</v>
      </c>
      <c r="I47" s="608">
        <f>G47*H47*8/12</f>
        <v>7516400</v>
      </c>
      <c r="J47" s="421"/>
    </row>
    <row r="48" spans="1:18" ht="24" x14ac:dyDescent="0.2">
      <c r="A48" s="481" t="s">
        <v>993</v>
      </c>
      <c r="B48" s="484"/>
      <c r="C48" s="484"/>
      <c r="D48" s="484"/>
      <c r="E48" s="484"/>
      <c r="F48" s="585"/>
      <c r="G48" s="388">
        <v>0</v>
      </c>
      <c r="H48" s="389">
        <v>80000</v>
      </c>
      <c r="I48" s="388">
        <v>0</v>
      </c>
      <c r="J48" s="421"/>
    </row>
    <row r="49" spans="1:12" ht="24" x14ac:dyDescent="0.2">
      <c r="A49" s="481" t="s">
        <v>941</v>
      </c>
      <c r="B49" s="484"/>
      <c r="C49" s="484">
        <v>142</v>
      </c>
      <c r="D49" s="484">
        <v>70000</v>
      </c>
      <c r="E49" s="484">
        <f>C49*D49*4/12</f>
        <v>3313333.3333333335</v>
      </c>
      <c r="F49" s="543"/>
      <c r="G49" s="388">
        <v>138</v>
      </c>
      <c r="H49" s="389">
        <v>81700</v>
      </c>
      <c r="I49" s="608">
        <f>G49*H49*4/12</f>
        <v>3758200</v>
      </c>
      <c r="J49" s="421"/>
    </row>
    <row r="50" spans="1:12" ht="24" x14ac:dyDescent="0.2">
      <c r="A50" s="481" t="s">
        <v>994</v>
      </c>
      <c r="B50" s="484"/>
      <c r="C50" s="484"/>
      <c r="D50" s="484"/>
      <c r="E50" s="484"/>
      <c r="F50" s="543"/>
      <c r="G50" s="388">
        <v>0</v>
      </c>
      <c r="H50" s="389">
        <v>80000</v>
      </c>
      <c r="I50" s="388">
        <v>0</v>
      </c>
      <c r="J50" s="421"/>
    </row>
    <row r="51" spans="1:12" ht="12.75" x14ac:dyDescent="0.2">
      <c r="A51" s="392" t="s">
        <v>942</v>
      </c>
      <c r="B51" s="484"/>
      <c r="C51" s="484"/>
      <c r="D51" s="484"/>
      <c r="E51" s="484"/>
      <c r="F51" s="441"/>
      <c r="G51" s="489"/>
      <c r="H51" s="489"/>
      <c r="I51" s="441"/>
      <c r="J51" s="421"/>
    </row>
    <row r="52" spans="1:12" ht="48" x14ac:dyDescent="0.2">
      <c r="A52" s="481" t="s">
        <v>1087</v>
      </c>
      <c r="B52" s="484"/>
      <c r="C52" s="484">
        <v>5</v>
      </c>
      <c r="D52" s="547" t="s">
        <v>316</v>
      </c>
      <c r="E52" s="484">
        <v>1760000</v>
      </c>
      <c r="F52" s="441"/>
      <c r="G52" s="613">
        <v>4</v>
      </c>
      <c r="H52" s="388">
        <v>401000</v>
      </c>
      <c r="I52" s="608">
        <f>G52*H52</f>
        <v>1604000</v>
      </c>
      <c r="J52" s="421"/>
    </row>
    <row r="53" spans="1:12" ht="48" x14ac:dyDescent="0.2">
      <c r="A53" s="481" t="s">
        <v>1088</v>
      </c>
      <c r="B53" s="484"/>
      <c r="C53" s="484"/>
      <c r="D53" s="484"/>
      <c r="E53" s="484"/>
      <c r="F53" s="441"/>
      <c r="G53" s="387">
        <v>0</v>
      </c>
      <c r="H53" s="388">
        <v>367583</v>
      </c>
      <c r="I53" s="388">
        <f>G53*H53</f>
        <v>0</v>
      </c>
      <c r="J53" s="421"/>
      <c r="K53" s="609">
        <f>SUM(I40:I53)</f>
        <v>87961100</v>
      </c>
      <c r="L53" s="6" t="s">
        <v>960</v>
      </c>
    </row>
    <row r="54" spans="1:12" ht="12.75" x14ac:dyDescent="0.2">
      <c r="A54" s="481"/>
      <c r="B54" s="484"/>
      <c r="C54" s="484"/>
      <c r="D54" s="484"/>
      <c r="E54" s="484"/>
      <c r="F54" s="441"/>
      <c r="G54" s="489"/>
      <c r="H54" s="489"/>
      <c r="I54" s="441"/>
      <c r="J54" s="421"/>
      <c r="K54" s="490"/>
    </row>
    <row r="55" spans="1:12" ht="12.75" x14ac:dyDescent="0.2">
      <c r="A55" s="491" t="s">
        <v>85</v>
      </c>
      <c r="B55" s="484"/>
      <c r="C55" s="484"/>
      <c r="D55" s="484"/>
      <c r="E55" s="484"/>
      <c r="F55" s="441"/>
      <c r="G55" s="489"/>
      <c r="H55" s="489"/>
      <c r="I55" s="441"/>
      <c r="J55" s="421"/>
    </row>
    <row r="56" spans="1:12" ht="12.75" x14ac:dyDescent="0.2">
      <c r="A56" s="488" t="s">
        <v>1089</v>
      </c>
      <c r="B56" s="484"/>
      <c r="C56" s="484"/>
      <c r="D56" s="484"/>
      <c r="E56" s="484">
        <v>0</v>
      </c>
      <c r="F56" s="441"/>
      <c r="G56" s="489"/>
      <c r="H56" s="489"/>
      <c r="I56" s="388">
        <v>0</v>
      </c>
      <c r="J56" s="423"/>
    </row>
    <row r="57" spans="1:12" ht="24" x14ac:dyDescent="0.2">
      <c r="A57" s="481" t="s">
        <v>902</v>
      </c>
      <c r="B57" s="484"/>
      <c r="C57" s="484"/>
      <c r="D57" s="484"/>
      <c r="E57" s="487">
        <v>0</v>
      </c>
      <c r="F57" s="441"/>
      <c r="G57" s="489"/>
      <c r="H57" s="489"/>
      <c r="I57" s="388">
        <v>0</v>
      </c>
      <c r="J57" s="421"/>
    </row>
    <row r="58" spans="1:12" ht="12.75" x14ac:dyDescent="0.2">
      <c r="A58" s="392" t="s">
        <v>903</v>
      </c>
      <c r="B58" s="484"/>
      <c r="C58" s="484"/>
      <c r="D58" s="484"/>
      <c r="E58" s="484"/>
      <c r="F58" s="441"/>
      <c r="G58" s="489"/>
      <c r="H58" s="489"/>
      <c r="I58" s="441"/>
      <c r="J58" s="421"/>
    </row>
    <row r="59" spans="1:12" ht="12.75" x14ac:dyDescent="0.2">
      <c r="A59" s="392" t="s">
        <v>904</v>
      </c>
      <c r="B59" s="484"/>
      <c r="C59" s="484"/>
      <c r="D59" s="484"/>
      <c r="E59" s="484"/>
      <c r="F59" s="441"/>
      <c r="G59" s="489"/>
      <c r="H59" s="489"/>
      <c r="I59" s="441"/>
      <c r="J59" s="421"/>
    </row>
    <row r="60" spans="1:12" ht="12.75" x14ac:dyDescent="0.2">
      <c r="A60" s="392" t="s">
        <v>905</v>
      </c>
      <c r="B60" s="484"/>
      <c r="C60" s="484"/>
      <c r="D60" s="484"/>
      <c r="E60" s="484"/>
      <c r="F60" s="441"/>
      <c r="G60" s="489"/>
      <c r="H60" s="489"/>
      <c r="I60" s="441"/>
      <c r="J60" s="421"/>
    </row>
    <row r="61" spans="1:12" ht="36" x14ac:dyDescent="0.2">
      <c r="A61" s="495" t="s">
        <v>1090</v>
      </c>
      <c r="B61" s="488"/>
      <c r="C61" s="497"/>
      <c r="D61" s="484"/>
      <c r="E61" s="484">
        <f>C61*D61/2</f>
        <v>0</v>
      </c>
      <c r="F61" s="389">
        <v>7822</v>
      </c>
      <c r="G61" s="498"/>
      <c r="H61" s="489"/>
      <c r="I61" s="441"/>
      <c r="J61" s="423"/>
    </row>
    <row r="62" spans="1:12" ht="24" x14ac:dyDescent="0.2">
      <c r="A62" s="481" t="s">
        <v>943</v>
      </c>
      <c r="B62" s="484"/>
      <c r="C62" s="488"/>
      <c r="D62" s="484"/>
      <c r="E62" s="484"/>
      <c r="F62" s="441"/>
      <c r="G62" s="394">
        <v>0</v>
      </c>
      <c r="H62" s="489"/>
      <c r="I62" s="441"/>
      <c r="J62" s="423"/>
    </row>
    <row r="63" spans="1:12" ht="12.75" x14ac:dyDescent="0.2">
      <c r="A63" s="392" t="s">
        <v>944</v>
      </c>
      <c r="B63" s="484"/>
      <c r="C63" s="488"/>
      <c r="D63" s="484"/>
      <c r="E63" s="484"/>
      <c r="F63" s="441"/>
      <c r="G63" s="393">
        <v>1</v>
      </c>
      <c r="H63" s="489"/>
      <c r="I63" s="441"/>
      <c r="J63" s="421"/>
    </row>
    <row r="64" spans="1:12" ht="12.75" x14ac:dyDescent="0.2">
      <c r="A64" s="392" t="s">
        <v>909</v>
      </c>
      <c r="B64" s="484"/>
      <c r="C64" s="499">
        <v>0.97299999999999998</v>
      </c>
      <c r="D64" s="484">
        <v>3000000</v>
      </c>
      <c r="E64" s="484"/>
      <c r="F64" s="441"/>
      <c r="G64" s="393">
        <v>2</v>
      </c>
      <c r="H64" s="389">
        <v>3000000</v>
      </c>
      <c r="I64" s="388">
        <f>(2*1+0)*3000000</f>
        <v>6000000</v>
      </c>
      <c r="J64" s="421"/>
    </row>
    <row r="65" spans="1:12" ht="12.75" x14ac:dyDescent="0.2">
      <c r="A65" s="392" t="s">
        <v>910</v>
      </c>
      <c r="B65" s="500"/>
      <c r="C65" s="484">
        <v>80</v>
      </c>
      <c r="D65" s="484">
        <v>55360</v>
      </c>
      <c r="E65" s="484">
        <f>C65*D65</f>
        <v>4428800</v>
      </c>
      <c r="F65" s="543"/>
      <c r="G65" s="389">
        <v>80</v>
      </c>
      <c r="H65" s="389">
        <v>55360</v>
      </c>
      <c r="I65" s="389">
        <f>G65*H65</f>
        <v>4428800</v>
      </c>
      <c r="J65" s="421"/>
    </row>
    <row r="66" spans="1:12" ht="12.75" x14ac:dyDescent="0.2">
      <c r="A66" s="392" t="s">
        <v>911</v>
      </c>
      <c r="B66" s="500"/>
      <c r="C66" s="484">
        <v>55</v>
      </c>
      <c r="D66" s="484">
        <v>145000</v>
      </c>
      <c r="E66" s="484">
        <f>C66*D66</f>
        <v>7975000</v>
      </c>
      <c r="F66" s="441"/>
      <c r="G66" s="484"/>
      <c r="H66" s="484"/>
      <c r="I66" s="484"/>
      <c r="J66" s="421"/>
    </row>
    <row r="67" spans="1:12" ht="12.75" x14ac:dyDescent="0.2">
      <c r="A67" s="392" t="s">
        <v>945</v>
      </c>
      <c r="B67" s="500"/>
      <c r="C67" s="484"/>
      <c r="D67" s="484"/>
      <c r="E67" s="484"/>
      <c r="F67" s="543"/>
      <c r="G67" s="614">
        <v>5</v>
      </c>
      <c r="H67" s="389">
        <v>25000</v>
      </c>
      <c r="I67" s="614">
        <f>G67*H67</f>
        <v>125000</v>
      </c>
      <c r="J67" s="421"/>
    </row>
    <row r="68" spans="1:12" ht="12.75" x14ac:dyDescent="0.2">
      <c r="A68" s="392" t="s">
        <v>946</v>
      </c>
      <c r="B68" s="500"/>
      <c r="C68" s="484"/>
      <c r="D68" s="484"/>
      <c r="E68" s="484"/>
      <c r="F68" s="543"/>
      <c r="G68" s="614">
        <v>49</v>
      </c>
      <c r="H68" s="389">
        <v>210000</v>
      </c>
      <c r="I68" s="614">
        <f>G68*H68</f>
        <v>10290000</v>
      </c>
      <c r="J68" s="421"/>
    </row>
    <row r="69" spans="1:12" ht="12.75" x14ac:dyDescent="0.2">
      <c r="A69" s="481" t="s">
        <v>947</v>
      </c>
      <c r="B69" s="548"/>
      <c r="C69" s="389">
        <v>23</v>
      </c>
      <c r="D69" s="389">
        <v>109000</v>
      </c>
      <c r="E69" s="389">
        <f>C69*D69</f>
        <v>2507000</v>
      </c>
      <c r="F69" s="388"/>
      <c r="G69" s="614">
        <v>25</v>
      </c>
      <c r="H69" s="389">
        <v>109000</v>
      </c>
      <c r="I69" s="614">
        <f>G69*H69</f>
        <v>2725000</v>
      </c>
      <c r="J69" s="421"/>
    </row>
    <row r="70" spans="1:12" ht="12.75" x14ac:dyDescent="0.2">
      <c r="A70" s="481" t="s">
        <v>913</v>
      </c>
      <c r="B70" s="548"/>
      <c r="C70" s="389"/>
      <c r="D70" s="389"/>
      <c r="E70" s="389"/>
      <c r="F70" s="388"/>
      <c r="G70" s="387"/>
      <c r="H70" s="387"/>
      <c r="I70" s="388"/>
      <c r="J70" s="421"/>
    </row>
    <row r="71" spans="1:12" ht="24" x14ac:dyDescent="0.2">
      <c r="A71" s="481" t="s">
        <v>1091</v>
      </c>
      <c r="B71" s="500"/>
      <c r="C71" s="484"/>
      <c r="D71" s="484"/>
      <c r="E71" s="484"/>
      <c r="F71" s="441"/>
      <c r="G71" s="489"/>
      <c r="H71" s="489"/>
      <c r="I71" s="441"/>
      <c r="J71" s="421"/>
    </row>
    <row r="72" spans="1:12" ht="24" x14ac:dyDescent="0.2">
      <c r="A72" s="495" t="s">
        <v>961</v>
      </c>
      <c r="B72" s="500"/>
      <c r="C72" s="484">
        <v>15</v>
      </c>
      <c r="D72" s="484">
        <v>2606040</v>
      </c>
      <c r="E72" s="484">
        <f>C72*D72</f>
        <v>39090600</v>
      </c>
      <c r="F72" s="543"/>
      <c r="G72" s="389">
        <v>15</v>
      </c>
      <c r="H72" s="389">
        <v>2606040</v>
      </c>
      <c r="I72" s="389">
        <f>G72*H72</f>
        <v>39090600</v>
      </c>
      <c r="J72" s="421"/>
    </row>
    <row r="73" spans="1:12" ht="36" x14ac:dyDescent="0.2">
      <c r="A73" s="392" t="s">
        <v>918</v>
      </c>
      <c r="B73" s="500"/>
      <c r="C73" s="484"/>
      <c r="D73" s="484"/>
      <c r="E73" s="487">
        <v>37834000</v>
      </c>
      <c r="F73" s="543" t="s">
        <v>1092</v>
      </c>
      <c r="G73" s="489"/>
      <c r="H73" s="489"/>
      <c r="I73" s="441">
        <v>30040000</v>
      </c>
      <c r="J73" s="425"/>
    </row>
    <row r="74" spans="1:12" ht="12.75" x14ac:dyDescent="0.2">
      <c r="A74" s="392" t="s">
        <v>1093</v>
      </c>
      <c r="B74" s="500"/>
      <c r="C74" s="484"/>
      <c r="D74" s="484"/>
      <c r="E74" s="484"/>
      <c r="F74" s="441"/>
      <c r="G74" s="489"/>
      <c r="H74" s="489"/>
      <c r="I74" s="441"/>
      <c r="J74" s="421"/>
    </row>
    <row r="75" spans="1:12" ht="12.75" x14ac:dyDescent="0.2">
      <c r="A75" s="392" t="s">
        <v>1094</v>
      </c>
      <c r="B75" s="484"/>
      <c r="C75" s="493">
        <v>12.33</v>
      </c>
      <c r="D75" s="484">
        <v>1632000</v>
      </c>
      <c r="E75" s="484">
        <f>C75*D75</f>
        <v>20122560</v>
      </c>
      <c r="F75" s="615" t="s">
        <v>1132</v>
      </c>
      <c r="G75" s="390">
        <v>14.4</v>
      </c>
      <c r="H75" s="604">
        <v>1900000</v>
      </c>
      <c r="I75" s="389">
        <f>G75*H75</f>
        <v>27360000</v>
      </c>
      <c r="J75" s="426"/>
    </row>
    <row r="76" spans="1:12" ht="36" x14ac:dyDescent="0.2">
      <c r="A76" s="392" t="s">
        <v>1095</v>
      </c>
      <c r="B76" s="484"/>
      <c r="C76" s="484"/>
      <c r="D76" s="484"/>
      <c r="E76" s="487">
        <v>7038795</v>
      </c>
      <c r="F76" s="543" t="s">
        <v>1092</v>
      </c>
      <c r="G76" s="489"/>
      <c r="H76" s="489"/>
      <c r="I76" s="441">
        <v>13278900</v>
      </c>
      <c r="J76" s="427"/>
    </row>
    <row r="77" spans="1:12" ht="24" x14ac:dyDescent="0.2">
      <c r="A77" s="481" t="s">
        <v>1096</v>
      </c>
      <c r="B77" s="484"/>
      <c r="C77" s="484"/>
      <c r="D77" s="484"/>
      <c r="E77" s="487"/>
      <c r="F77" s="543"/>
      <c r="G77" s="608">
        <v>0</v>
      </c>
      <c r="H77" s="388">
        <v>285</v>
      </c>
      <c r="I77" s="608">
        <f>G77*H77</f>
        <v>0</v>
      </c>
      <c r="J77" s="421"/>
    </row>
    <row r="78" spans="1:12" ht="12.75" x14ac:dyDescent="0.2">
      <c r="A78" s="481" t="s">
        <v>1097</v>
      </c>
      <c r="B78" s="484"/>
      <c r="C78" s="484"/>
      <c r="D78" s="484"/>
      <c r="E78" s="503"/>
      <c r="F78" s="543"/>
      <c r="G78" s="546"/>
      <c r="H78" s="388"/>
      <c r="I78" s="388"/>
      <c r="J78" s="421"/>
      <c r="K78" s="490">
        <f>SUM(I56:I82)</f>
        <v>147563700</v>
      </c>
      <c r="L78" s="6" t="s">
        <v>962</v>
      </c>
    </row>
    <row r="79" spans="1:12" ht="12.75" x14ac:dyDescent="0.2">
      <c r="A79" s="481" t="s">
        <v>1098</v>
      </c>
      <c r="B79" s="484"/>
      <c r="C79" s="484"/>
      <c r="D79" s="484"/>
      <c r="E79" s="503"/>
      <c r="F79" s="543"/>
      <c r="G79" s="546"/>
      <c r="H79" s="388"/>
      <c r="I79" s="388"/>
      <c r="J79" s="421"/>
      <c r="K79" s="490"/>
    </row>
    <row r="80" spans="1:12" ht="36" x14ac:dyDescent="0.2">
      <c r="A80" s="481" t="s">
        <v>1099</v>
      </c>
      <c r="B80" s="484"/>
      <c r="C80" s="484"/>
      <c r="D80" s="484"/>
      <c r="E80" s="503"/>
      <c r="F80" s="585" t="s">
        <v>1100</v>
      </c>
      <c r="G80" s="546">
        <v>1.8</v>
      </c>
      <c r="H80" s="388">
        <v>2993000</v>
      </c>
      <c r="I80" s="388">
        <f>G80*H80</f>
        <v>5387400</v>
      </c>
      <c r="J80" s="421"/>
      <c r="K80" s="490"/>
    </row>
    <row r="81" spans="1:14" ht="36" x14ac:dyDescent="0.2">
      <c r="A81" s="481" t="s">
        <v>1101</v>
      </c>
      <c r="B81" s="484"/>
      <c r="C81" s="484"/>
      <c r="D81" s="484"/>
      <c r="E81" s="503"/>
      <c r="F81" s="585" t="s">
        <v>1102</v>
      </c>
      <c r="G81" s="546">
        <v>2</v>
      </c>
      <c r="H81" s="388">
        <v>4419000</v>
      </c>
      <c r="I81" s="388">
        <f>G81*H81</f>
        <v>8838000</v>
      </c>
      <c r="J81" s="421"/>
      <c r="K81" s="490"/>
    </row>
    <row r="82" spans="1:14" ht="24" x14ac:dyDescent="0.2">
      <c r="A82" s="481" t="s">
        <v>1103</v>
      </c>
      <c r="B82" s="484"/>
      <c r="C82" s="484"/>
      <c r="D82" s="484"/>
      <c r="E82" s="503"/>
      <c r="F82" s="543"/>
      <c r="G82" s="546"/>
      <c r="H82" s="388">
        <v>0</v>
      </c>
      <c r="I82" s="388">
        <v>0</v>
      </c>
      <c r="J82" s="421"/>
      <c r="K82" s="490"/>
    </row>
    <row r="83" spans="1:14" ht="12.75" x14ac:dyDescent="0.2">
      <c r="A83" s="481"/>
      <c r="B83" s="484"/>
      <c r="C83" s="484"/>
      <c r="D83" s="484"/>
      <c r="E83" s="503"/>
      <c r="F83" s="543"/>
      <c r="G83" s="546"/>
      <c r="H83" s="388"/>
      <c r="I83" s="388"/>
      <c r="J83" s="421"/>
      <c r="K83" s="490"/>
    </row>
    <row r="84" spans="1:14" ht="12.75" x14ac:dyDescent="0.2">
      <c r="A84" s="392" t="s">
        <v>924</v>
      </c>
      <c r="B84" s="484"/>
      <c r="C84" s="484"/>
      <c r="D84" s="484"/>
      <c r="E84" s="503"/>
      <c r="F84" s="441"/>
      <c r="G84" s="489"/>
      <c r="H84" s="489"/>
      <c r="I84" s="441"/>
      <c r="J84" s="421"/>
    </row>
    <row r="85" spans="1:14" ht="12.75" x14ac:dyDescent="0.2">
      <c r="A85" s="392" t="s">
        <v>925</v>
      </c>
      <c r="B85" s="484"/>
      <c r="C85" s="484"/>
      <c r="D85" s="484"/>
      <c r="E85" s="503"/>
      <c r="F85" s="441"/>
      <c r="G85" s="489"/>
      <c r="H85" s="489"/>
      <c r="I85" s="441"/>
      <c r="J85" s="421"/>
    </row>
    <row r="86" spans="1:14" ht="12.75" x14ac:dyDescent="0.2">
      <c r="A86" s="392" t="s">
        <v>926</v>
      </c>
      <c r="B86" s="484"/>
      <c r="C86" s="484">
        <v>4865</v>
      </c>
      <c r="D86" s="484">
        <v>1140</v>
      </c>
      <c r="E86" s="504"/>
      <c r="F86" s="441"/>
      <c r="G86" s="389">
        <v>4705</v>
      </c>
      <c r="H86" s="604">
        <v>1210</v>
      </c>
      <c r="I86" s="203">
        <f>G86*H86</f>
        <v>5693050</v>
      </c>
      <c r="J86" s="421"/>
    </row>
    <row r="87" spans="1:14" ht="48" x14ac:dyDescent="0.2">
      <c r="A87" s="481" t="s">
        <v>927</v>
      </c>
      <c r="B87" s="484"/>
      <c r="C87" s="484"/>
      <c r="D87" s="484"/>
      <c r="E87" s="504"/>
      <c r="F87" s="585" t="s">
        <v>1104</v>
      </c>
      <c r="G87" s="484"/>
      <c r="H87" s="484"/>
      <c r="I87" s="203">
        <v>0</v>
      </c>
      <c r="J87" s="421"/>
    </row>
    <row r="88" spans="1:14" ht="48" x14ac:dyDescent="0.2">
      <c r="A88" s="481" t="s">
        <v>1105</v>
      </c>
      <c r="B88" s="484"/>
      <c r="C88" s="484"/>
      <c r="D88" s="484"/>
      <c r="E88" s="504"/>
      <c r="F88" s="585" t="s">
        <v>1106</v>
      </c>
      <c r="G88" s="484"/>
      <c r="H88" s="484"/>
      <c r="I88" s="203">
        <v>0</v>
      </c>
      <c r="J88" s="421"/>
    </row>
    <row r="89" spans="1:14" ht="12.75" x14ac:dyDescent="0.2">
      <c r="A89" s="495" t="s">
        <v>1107</v>
      </c>
      <c r="B89" s="500"/>
      <c r="C89" s="484"/>
      <c r="D89" s="498"/>
      <c r="E89" s="484"/>
      <c r="F89" s="441"/>
      <c r="G89" s="489"/>
      <c r="H89" s="489"/>
      <c r="I89" s="441"/>
      <c r="J89" s="421"/>
      <c r="K89" s="490">
        <f>SUM(I86+I87)</f>
        <v>5693050</v>
      </c>
      <c r="L89" s="6" t="s">
        <v>963</v>
      </c>
    </row>
    <row r="90" spans="1:14" ht="24" x14ac:dyDescent="0.2">
      <c r="A90" s="505" t="s">
        <v>1108</v>
      </c>
      <c r="B90" s="549"/>
      <c r="C90" s="550"/>
      <c r="D90" s="389"/>
      <c r="E90" s="389"/>
      <c r="F90" s="551"/>
      <c r="G90" s="387"/>
      <c r="H90" s="387"/>
      <c r="I90" s="441"/>
      <c r="J90" s="421"/>
      <c r="K90" s="490"/>
      <c r="L90" s="490">
        <f>I15+I18+I21+I24+I27+I30+I33</f>
        <v>-123432901</v>
      </c>
      <c r="M90" s="552" t="s">
        <v>964</v>
      </c>
      <c r="N90" s="202"/>
    </row>
    <row r="91" spans="1:14" ht="12.75" x14ac:dyDescent="0.2">
      <c r="A91" s="530" t="s">
        <v>1109</v>
      </c>
      <c r="B91" s="553"/>
      <c r="C91" s="554"/>
      <c r="D91" s="555"/>
      <c r="E91" s="555"/>
      <c r="F91" s="556"/>
      <c r="G91" s="557"/>
      <c r="H91" s="557"/>
      <c r="I91" s="558">
        <v>0</v>
      </c>
      <c r="J91" s="421"/>
      <c r="K91" s="490"/>
      <c r="L91" s="490"/>
      <c r="M91" s="552"/>
      <c r="N91" s="202"/>
    </row>
    <row r="92" spans="1:14" ht="12.75" x14ac:dyDescent="0.2">
      <c r="A92" s="530"/>
      <c r="B92" s="553"/>
      <c r="C92" s="554"/>
      <c r="D92" s="555"/>
      <c r="E92" s="555"/>
      <c r="F92" s="553"/>
      <c r="G92" s="557"/>
      <c r="H92" s="557"/>
      <c r="I92" s="511"/>
      <c r="J92" s="421"/>
      <c r="K92" s="490"/>
      <c r="L92" s="490"/>
      <c r="N92" s="202"/>
    </row>
    <row r="93" spans="1:14" ht="12.75" x14ac:dyDescent="0.2">
      <c r="A93" s="530" t="s">
        <v>948</v>
      </c>
      <c r="B93" s="553"/>
      <c r="C93" s="554"/>
      <c r="D93" s="555"/>
      <c r="E93" s="555"/>
      <c r="F93" s="553"/>
      <c r="G93" s="557"/>
      <c r="H93" s="557"/>
      <c r="I93" s="511"/>
      <c r="J93" s="421"/>
      <c r="K93" s="490"/>
      <c r="L93" s="490"/>
      <c r="N93" s="202"/>
    </row>
    <row r="94" spans="1:14" ht="12.75" x14ac:dyDescent="0.2">
      <c r="A94" s="530" t="s">
        <v>949</v>
      </c>
      <c r="B94" s="553"/>
      <c r="C94" s="554"/>
      <c r="D94" s="555"/>
      <c r="E94" s="555"/>
      <c r="F94" s="553"/>
      <c r="G94" s="557"/>
      <c r="H94" s="557"/>
      <c r="I94" s="558">
        <v>0</v>
      </c>
      <c r="J94" s="421"/>
      <c r="K94" s="490"/>
      <c r="L94" s="490"/>
      <c r="N94" s="202"/>
    </row>
    <row r="95" spans="1:14" ht="12.75" x14ac:dyDescent="0.2">
      <c r="A95" s="531" t="s">
        <v>950</v>
      </c>
      <c r="B95" s="553"/>
      <c r="C95" s="554"/>
      <c r="D95" s="555"/>
      <c r="E95" s="555"/>
      <c r="F95" s="553"/>
      <c r="G95" s="557"/>
      <c r="H95" s="557"/>
      <c r="I95" s="558">
        <v>0</v>
      </c>
      <c r="J95" s="421"/>
      <c r="K95" s="490">
        <f>I94+I95</f>
        <v>0</v>
      </c>
      <c r="L95" s="490" t="s">
        <v>965</v>
      </c>
      <c r="N95" s="202"/>
    </row>
    <row r="96" spans="1:14" ht="13.5" thickBot="1" x14ac:dyDescent="0.25">
      <c r="A96" s="507"/>
      <c r="B96" s="508"/>
      <c r="C96" s="509"/>
      <c r="D96" s="510"/>
      <c r="E96" s="509"/>
      <c r="F96" s="511"/>
      <c r="G96" s="512"/>
      <c r="H96" s="512"/>
      <c r="I96" s="511"/>
      <c r="J96" s="421"/>
    </row>
    <row r="97" spans="1:256" ht="12.75" thickBot="1" x14ac:dyDescent="0.25">
      <c r="A97" s="513" t="s">
        <v>929</v>
      </c>
      <c r="B97" s="514"/>
      <c r="C97" s="514"/>
      <c r="D97" s="515"/>
      <c r="E97" s="516" t="e">
        <f>E12+E14+E17+E20+E23+E28+E31+E34+E40+E41+#REF!+E42+E44+E47+E49+E52+E56+E57+E61+E62+E65+E66+E69+#REF!+E72+E73+E75+E76</f>
        <v>#REF!</v>
      </c>
      <c r="F97" s="1465">
        <f>I12+I16+I19+I22+I25+I28+I31+I34+I35+I36+I40+I41+I42+I43+I44+I45+I47+I48+I49+I50+I52+I53+I56+I57+I64+I65+I67+I68+I69+I72+I73+I75+I76+I77+I80+I81+I82+I86+I87+I88+I94+I95+I91</f>
        <v>789557318</v>
      </c>
      <c r="G97" s="1465"/>
      <c r="H97" s="1465"/>
      <c r="I97" s="1466"/>
      <c r="J97" s="7"/>
      <c r="K97" s="517">
        <f>K78+K53+K35+K89</f>
        <v>789557318</v>
      </c>
      <c r="L97" s="559" t="s">
        <v>966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60"/>
      <c r="B99" s="561"/>
      <c r="C99" s="561"/>
      <c r="D99" s="561"/>
      <c r="E99" s="562"/>
      <c r="F99" s="563"/>
      <c r="G99" s="563"/>
      <c r="H99" s="563"/>
      <c r="I99" s="563"/>
    </row>
    <row r="100" spans="1:256" ht="12.75" x14ac:dyDescent="0.2">
      <c r="A100" s="605" t="s">
        <v>1110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N40"/>
  <sheetViews>
    <sheetView workbookViewId="0">
      <pane ySplit="7" topLeftCell="A29" activePane="bottomLeft" state="frozen"/>
      <selection activeCell="B65" sqref="B65"/>
      <selection pane="bottomLeft" activeCell="J7" sqref="J7:N8"/>
    </sheetView>
  </sheetViews>
  <sheetFormatPr defaultColWidth="9.140625" defaultRowHeight="14.45" customHeight="1" x14ac:dyDescent="0.2"/>
  <cols>
    <col min="1" max="1" width="9.140625" style="10"/>
    <col min="2" max="2" width="5.140625" style="235" customWidth="1"/>
    <col min="3" max="3" width="50.42578125" style="14" customWidth="1"/>
    <col min="4" max="4" width="11.85546875" style="116" customWidth="1"/>
    <col min="5" max="5" width="12.7109375" style="116" customWidth="1"/>
    <col min="6" max="6" width="13.5703125" style="116" customWidth="1"/>
    <col min="7" max="9" width="0" style="117" hidden="1" customWidth="1"/>
    <col min="10" max="16384" width="9.140625" style="10"/>
  </cols>
  <sheetData>
    <row r="1" spans="2:14" ht="14.45" customHeight="1" x14ac:dyDescent="0.2">
      <c r="C1" s="1457" t="s">
        <v>1263</v>
      </c>
      <c r="D1" s="1457"/>
      <c r="E1" s="1457"/>
      <c r="F1" s="1457"/>
      <c r="G1" s="1457"/>
      <c r="H1" s="1457"/>
      <c r="I1" s="1457"/>
    </row>
    <row r="2" spans="2:14" ht="14.45" customHeight="1" x14ac:dyDescent="0.2">
      <c r="C2" s="1457"/>
      <c r="D2" s="1457"/>
      <c r="E2" s="1457"/>
      <c r="F2" s="1457"/>
      <c r="G2" s="1457"/>
      <c r="H2" s="1457"/>
      <c r="I2" s="1457"/>
    </row>
    <row r="3" spans="2:14" ht="14.45" customHeight="1" x14ac:dyDescent="0.2">
      <c r="B3" s="1461" t="s">
        <v>54</v>
      </c>
      <c r="C3" s="1453"/>
      <c r="D3" s="1453"/>
      <c r="E3" s="1453"/>
      <c r="F3" s="1453"/>
      <c r="G3" s="1453"/>
      <c r="H3" s="1453"/>
      <c r="I3" s="1453"/>
    </row>
    <row r="4" spans="2:14" s="11" customFormat="1" ht="14.45" customHeight="1" x14ac:dyDescent="0.2">
      <c r="B4" s="1467" t="s">
        <v>1120</v>
      </c>
      <c r="C4" s="1453"/>
      <c r="D4" s="1453"/>
      <c r="E4" s="1453"/>
      <c r="F4" s="1453"/>
      <c r="G4" s="1453"/>
      <c r="H4" s="1453"/>
      <c r="I4" s="1453"/>
    </row>
    <row r="5" spans="2:14" s="11" customFormat="1" ht="14.45" customHeight="1" x14ac:dyDescent="0.15">
      <c r="B5" s="128"/>
    </row>
    <row r="6" spans="2:14" ht="14.45" customHeight="1" x14ac:dyDescent="0.2">
      <c r="B6" s="1428" t="s">
        <v>458</v>
      </c>
      <c r="C6" s="1453"/>
      <c r="D6" s="1453"/>
      <c r="E6" s="1453"/>
      <c r="F6" s="1453"/>
      <c r="G6" s="1453"/>
      <c r="H6" s="1453"/>
      <c r="I6" s="1453"/>
    </row>
    <row r="7" spans="2:14" s="12" customFormat="1" ht="36.75" customHeight="1" x14ac:dyDescent="0.2">
      <c r="B7" s="1468" t="s">
        <v>56</v>
      </c>
      <c r="C7" s="1470" t="s">
        <v>86</v>
      </c>
      <c r="D7" s="1472" t="s">
        <v>1274</v>
      </c>
      <c r="E7" s="1472"/>
      <c r="F7" s="1472"/>
      <c r="G7" s="125"/>
      <c r="J7" s="1447" t="s">
        <v>1269</v>
      </c>
      <c r="K7" s="1448"/>
      <c r="L7" s="1447" t="s">
        <v>1270</v>
      </c>
      <c r="M7" s="1447"/>
      <c r="N7" s="1447"/>
    </row>
    <row r="8" spans="2:14" s="12" customFormat="1" ht="40.9" customHeight="1" x14ac:dyDescent="0.2">
      <c r="B8" s="1469"/>
      <c r="C8" s="1471"/>
      <c r="D8" s="865" t="s">
        <v>62</v>
      </c>
      <c r="E8" s="865" t="s">
        <v>63</v>
      </c>
      <c r="F8" s="865" t="s">
        <v>64</v>
      </c>
      <c r="G8" s="125"/>
      <c r="J8" s="762" t="s">
        <v>62</v>
      </c>
      <c r="K8" s="762" t="s">
        <v>63</v>
      </c>
      <c r="L8" s="762" t="s">
        <v>62</v>
      </c>
      <c r="M8" s="762" t="s">
        <v>63</v>
      </c>
      <c r="N8" s="762" t="s">
        <v>64</v>
      </c>
    </row>
    <row r="9" spans="2:14" s="12" customFormat="1" ht="14.45" customHeight="1" x14ac:dyDescent="0.2">
      <c r="B9" s="866" t="s">
        <v>507</v>
      </c>
      <c r="C9" s="867" t="s">
        <v>103</v>
      </c>
      <c r="D9" s="767"/>
      <c r="E9" s="767"/>
      <c r="F9" s="767"/>
      <c r="G9" s="721"/>
      <c r="H9" s="751"/>
      <c r="I9" s="751"/>
      <c r="J9" s="751"/>
      <c r="K9" s="751"/>
      <c r="L9" s="751"/>
      <c r="M9" s="751"/>
      <c r="N9" s="751"/>
    </row>
    <row r="10" spans="2:14" s="12" customFormat="1" ht="10.5" customHeight="1" x14ac:dyDescent="0.2">
      <c r="B10" s="866" t="s">
        <v>515</v>
      </c>
      <c r="C10" s="867"/>
      <c r="D10" s="767"/>
      <c r="E10" s="767"/>
      <c r="F10" s="767"/>
      <c r="G10" s="721"/>
      <c r="H10" s="751"/>
      <c r="I10" s="751"/>
      <c r="J10" s="751"/>
      <c r="K10" s="751"/>
      <c r="L10" s="751"/>
      <c r="M10" s="751"/>
      <c r="N10" s="751"/>
    </row>
    <row r="11" spans="2:14" s="12" customFormat="1" ht="14.45" customHeight="1" x14ac:dyDescent="0.2">
      <c r="B11" s="866" t="s">
        <v>516</v>
      </c>
      <c r="C11" s="868" t="s">
        <v>87</v>
      </c>
      <c r="D11" s="767"/>
      <c r="E11" s="767"/>
      <c r="F11" s="767"/>
      <c r="G11" s="721"/>
      <c r="H11" s="751"/>
      <c r="I11" s="751"/>
      <c r="J11" s="751"/>
      <c r="K11" s="751"/>
      <c r="L11" s="751"/>
      <c r="M11" s="751"/>
      <c r="N11" s="751"/>
    </row>
    <row r="12" spans="2:14" s="12" customFormat="1" ht="14.45" customHeight="1" x14ac:dyDescent="0.2">
      <c r="B12" s="866" t="s">
        <v>517</v>
      </c>
      <c r="C12" s="869" t="s">
        <v>104</v>
      </c>
      <c r="D12" s="767"/>
      <c r="E12" s="767"/>
      <c r="F12" s="767"/>
      <c r="G12" s="721"/>
      <c r="H12" s="751"/>
      <c r="I12" s="751"/>
      <c r="J12" s="751"/>
      <c r="K12" s="751"/>
      <c r="L12" s="751"/>
      <c r="M12" s="751"/>
      <c r="N12" s="751"/>
    </row>
    <row r="13" spans="2:14" s="12" customFormat="1" ht="14.45" customHeight="1" x14ac:dyDescent="0.2">
      <c r="B13" s="866" t="s">
        <v>518</v>
      </c>
      <c r="C13" s="870" t="s">
        <v>105</v>
      </c>
      <c r="D13" s="708">
        <v>0</v>
      </c>
      <c r="E13" s="708">
        <v>6740</v>
      </c>
      <c r="F13" s="708">
        <f>SUM(D13:E13)</f>
        <v>6740</v>
      </c>
      <c r="G13" s="721"/>
      <c r="H13" s="751"/>
      <c r="I13" s="751"/>
      <c r="J13" s="751"/>
      <c r="K13" s="751"/>
      <c r="L13" s="751"/>
      <c r="M13" s="751"/>
      <c r="N13" s="751"/>
    </row>
    <row r="14" spans="2:14" s="12" customFormat="1" ht="14.45" customHeight="1" x14ac:dyDescent="0.2">
      <c r="B14" s="866" t="s">
        <v>519</v>
      </c>
      <c r="C14" s="870" t="s">
        <v>300</v>
      </c>
      <c r="D14" s="708"/>
      <c r="E14" s="708"/>
      <c r="F14" s="708">
        <f>SUM(D14:E14)</f>
        <v>0</v>
      </c>
      <c r="G14" s="721"/>
      <c r="H14" s="751"/>
      <c r="I14" s="751"/>
      <c r="J14" s="751"/>
      <c r="K14" s="751"/>
      <c r="L14" s="751"/>
      <c r="M14" s="751"/>
      <c r="N14" s="751"/>
    </row>
    <row r="15" spans="2:14" s="12" customFormat="1" ht="14.45" customHeight="1" x14ac:dyDescent="0.2">
      <c r="B15" s="866" t="s">
        <v>520</v>
      </c>
      <c r="C15" s="728" t="s">
        <v>106</v>
      </c>
      <c r="D15" s="708"/>
      <c r="E15" s="708">
        <v>0</v>
      </c>
      <c r="F15" s="708">
        <f>SUM(D15:E15)</f>
        <v>0</v>
      </c>
      <c r="G15" s="721"/>
      <c r="H15" s="751"/>
      <c r="I15" s="751"/>
      <c r="J15" s="751"/>
      <c r="K15" s="751"/>
      <c r="L15" s="751"/>
      <c r="M15" s="751"/>
      <c r="N15" s="751"/>
    </row>
    <row r="16" spans="2:14" s="12" customFormat="1" ht="14.45" customHeight="1" thickBot="1" x14ac:dyDescent="0.25">
      <c r="B16" s="874" t="s">
        <v>521</v>
      </c>
      <c r="C16" s="853" t="s">
        <v>107</v>
      </c>
      <c r="D16" s="831"/>
      <c r="E16" s="831"/>
      <c r="F16" s="831"/>
      <c r="G16" s="875"/>
      <c r="H16" s="876"/>
      <c r="I16" s="876"/>
      <c r="J16" s="876"/>
      <c r="K16" s="876"/>
      <c r="L16" s="876"/>
      <c r="M16" s="876"/>
      <c r="N16" s="876"/>
    </row>
    <row r="17" spans="2:14" s="12" customFormat="1" ht="14.45" customHeight="1" thickBot="1" x14ac:dyDescent="0.25">
      <c r="B17" s="881" t="s">
        <v>522</v>
      </c>
      <c r="C17" s="882" t="s">
        <v>108</v>
      </c>
      <c r="D17" s="697">
        <f>SUM(D13:D16)</f>
        <v>0</v>
      </c>
      <c r="E17" s="697">
        <f>SUM(E13:E16)</f>
        <v>6740</v>
      </c>
      <c r="F17" s="697">
        <f>SUM(F13:F16)</f>
        <v>6740</v>
      </c>
      <c r="G17" s="883"/>
      <c r="H17" s="884"/>
      <c r="I17" s="884"/>
      <c r="J17" s="884"/>
      <c r="K17" s="884"/>
      <c r="L17" s="884"/>
      <c r="M17" s="884"/>
      <c r="N17" s="885"/>
    </row>
    <row r="18" spans="2:14" s="12" customFormat="1" ht="14.45" customHeight="1" x14ac:dyDescent="0.2">
      <c r="B18" s="877" t="s">
        <v>564</v>
      </c>
      <c r="C18" s="878"/>
      <c r="D18" s="841"/>
      <c r="E18" s="841"/>
      <c r="F18" s="841"/>
      <c r="G18" s="879"/>
      <c r="H18" s="880"/>
      <c r="I18" s="880"/>
      <c r="J18" s="880"/>
      <c r="K18" s="880"/>
      <c r="L18" s="880"/>
      <c r="M18" s="880"/>
      <c r="N18" s="880"/>
    </row>
    <row r="19" spans="2:14" s="12" customFormat="1" ht="14.45" customHeight="1" x14ac:dyDescent="0.2">
      <c r="B19" s="866" t="s">
        <v>565</v>
      </c>
      <c r="C19" s="871" t="s">
        <v>301</v>
      </c>
      <c r="D19" s="706"/>
      <c r="E19" s="706"/>
      <c r="F19" s="706"/>
      <c r="G19" s="721"/>
      <c r="H19" s="751"/>
      <c r="I19" s="751"/>
      <c r="J19" s="751"/>
      <c r="K19" s="751"/>
      <c r="L19" s="751"/>
      <c r="M19" s="751"/>
      <c r="N19" s="751"/>
    </row>
    <row r="20" spans="2:14" s="12" customFormat="1" ht="14.45" customHeight="1" thickBot="1" x14ac:dyDescent="0.25">
      <c r="B20" s="874" t="s">
        <v>566</v>
      </c>
      <c r="C20" s="853"/>
      <c r="D20" s="772"/>
      <c r="E20" s="831"/>
      <c r="F20" s="831"/>
      <c r="G20" s="875"/>
      <c r="H20" s="876"/>
      <c r="I20" s="876"/>
      <c r="J20" s="876"/>
      <c r="K20" s="876"/>
      <c r="L20" s="876"/>
      <c r="M20" s="876"/>
      <c r="N20" s="876"/>
    </row>
    <row r="21" spans="2:14" s="12" customFormat="1" ht="14.45" customHeight="1" thickBot="1" x14ac:dyDescent="0.25">
      <c r="B21" s="881" t="s">
        <v>567</v>
      </c>
      <c r="C21" s="882" t="s">
        <v>302</v>
      </c>
      <c r="D21" s="697">
        <f>D20</f>
        <v>0</v>
      </c>
      <c r="E21" s="697">
        <f>E20</f>
        <v>0</v>
      </c>
      <c r="F21" s="697">
        <f>F20</f>
        <v>0</v>
      </c>
      <c r="G21" s="883"/>
      <c r="H21" s="884"/>
      <c r="I21" s="884"/>
      <c r="J21" s="884"/>
      <c r="K21" s="884"/>
      <c r="L21" s="884"/>
      <c r="M21" s="884"/>
      <c r="N21" s="885"/>
    </row>
    <row r="22" spans="2:14" s="12" customFormat="1" ht="12" customHeight="1" x14ac:dyDescent="0.2">
      <c r="B22" s="877" t="s">
        <v>568</v>
      </c>
      <c r="C22" s="886"/>
      <c r="D22" s="887"/>
      <c r="E22" s="887"/>
      <c r="F22" s="887"/>
      <c r="G22" s="879"/>
      <c r="H22" s="880"/>
      <c r="I22" s="880"/>
      <c r="J22" s="880"/>
      <c r="K22" s="880"/>
      <c r="L22" s="880"/>
      <c r="M22" s="880"/>
      <c r="N22" s="880"/>
    </row>
    <row r="23" spans="2:14" s="11" customFormat="1" ht="14.45" customHeight="1" x14ac:dyDescent="0.2">
      <c r="B23" s="866" t="s">
        <v>569</v>
      </c>
      <c r="C23" s="872" t="s">
        <v>1020</v>
      </c>
      <c r="D23" s="706"/>
      <c r="E23" s="706"/>
      <c r="F23" s="706"/>
      <c r="G23" s="722"/>
      <c r="H23" s="723"/>
      <c r="I23" s="723"/>
      <c r="J23" s="723"/>
      <c r="K23" s="723"/>
      <c r="L23" s="723"/>
      <c r="M23" s="723"/>
      <c r="N23" s="723"/>
    </row>
    <row r="24" spans="2:14" s="11" customFormat="1" ht="27" customHeight="1" thickBot="1" x14ac:dyDescent="0.25">
      <c r="B24" s="874" t="s">
        <v>570</v>
      </c>
      <c r="C24" s="888" t="s">
        <v>1217</v>
      </c>
      <c r="D24" s="772">
        <f t="shared" ref="D24" si="0">SUM(D21:D23)</f>
        <v>0</v>
      </c>
      <c r="E24" s="831">
        <v>93253</v>
      </c>
      <c r="F24" s="772">
        <f>SUM(D24:E24)</f>
        <v>93253</v>
      </c>
      <c r="G24" s="732"/>
      <c r="H24" s="758"/>
      <c r="I24" s="758"/>
      <c r="J24" s="758"/>
      <c r="K24" s="758"/>
      <c r="L24" s="758"/>
      <c r="M24" s="758"/>
      <c r="N24" s="758"/>
    </row>
    <row r="25" spans="2:14" ht="14.45" customHeight="1" thickBot="1" x14ac:dyDescent="0.25">
      <c r="B25" s="881" t="s">
        <v>574</v>
      </c>
      <c r="C25" s="882" t="s">
        <v>109</v>
      </c>
      <c r="D25" s="697">
        <f>SUM(D24)</f>
        <v>0</v>
      </c>
      <c r="E25" s="697">
        <f t="shared" ref="E25:F25" si="1">SUM(E24)</f>
        <v>93253</v>
      </c>
      <c r="F25" s="697">
        <f t="shared" si="1"/>
        <v>93253</v>
      </c>
      <c r="G25" s="741"/>
      <c r="H25" s="864"/>
      <c r="I25" s="864"/>
      <c r="J25" s="864"/>
      <c r="K25" s="864"/>
      <c r="L25" s="864"/>
      <c r="M25" s="864"/>
      <c r="N25" s="742"/>
    </row>
    <row r="26" spans="2:14" ht="14.45" customHeight="1" x14ac:dyDescent="0.2">
      <c r="B26" s="877" t="s">
        <v>575</v>
      </c>
      <c r="C26" s="878"/>
      <c r="D26" s="841"/>
      <c r="E26" s="841"/>
      <c r="F26" s="841"/>
      <c r="G26" s="852"/>
      <c r="H26" s="889"/>
      <c r="I26" s="889"/>
      <c r="J26" s="889"/>
      <c r="K26" s="889"/>
      <c r="L26" s="889"/>
      <c r="M26" s="889"/>
      <c r="N26" s="889"/>
    </row>
    <row r="27" spans="2:14" ht="14.45" customHeight="1" x14ac:dyDescent="0.2">
      <c r="B27" s="866" t="s">
        <v>576</v>
      </c>
      <c r="C27" s="873" t="s">
        <v>179</v>
      </c>
      <c r="D27" s="706"/>
      <c r="E27" s="708"/>
      <c r="F27" s="708"/>
      <c r="G27" s="709"/>
      <c r="H27" s="710"/>
      <c r="I27" s="710"/>
      <c r="J27" s="710"/>
      <c r="K27" s="710"/>
      <c r="L27" s="710"/>
      <c r="M27" s="710"/>
      <c r="N27" s="710"/>
    </row>
    <row r="28" spans="2:14" ht="14.45" customHeight="1" x14ac:dyDescent="0.2">
      <c r="B28" s="866" t="s">
        <v>577</v>
      </c>
      <c r="C28" s="728"/>
      <c r="D28" s="706"/>
      <c r="E28" s="708"/>
      <c r="F28" s="708"/>
      <c r="G28" s="709"/>
      <c r="H28" s="710"/>
      <c r="I28" s="710"/>
      <c r="J28" s="710"/>
      <c r="K28" s="710"/>
      <c r="L28" s="710"/>
      <c r="M28" s="710"/>
      <c r="N28" s="710"/>
    </row>
    <row r="29" spans="2:14" ht="14.45" customHeight="1" x14ac:dyDescent="0.2">
      <c r="B29" s="866" t="s">
        <v>578</v>
      </c>
      <c r="C29" s="724" t="s">
        <v>180</v>
      </c>
      <c r="D29" s="706"/>
      <c r="E29" s="706">
        <f>SUM(E28)</f>
        <v>0</v>
      </c>
      <c r="F29" s="706">
        <f>SUM(F28)</f>
        <v>0</v>
      </c>
      <c r="G29" s="709"/>
      <c r="H29" s="710"/>
      <c r="I29" s="710"/>
      <c r="J29" s="710"/>
      <c r="K29" s="710"/>
      <c r="L29" s="710"/>
      <c r="M29" s="710"/>
      <c r="N29" s="710"/>
    </row>
    <row r="30" spans="2:14" ht="14.45" customHeight="1" x14ac:dyDescent="0.2">
      <c r="B30" s="866" t="s">
        <v>579</v>
      </c>
      <c r="C30" s="724"/>
      <c r="D30" s="706"/>
      <c r="E30" s="706"/>
      <c r="F30" s="706"/>
      <c r="G30" s="709"/>
      <c r="H30" s="710"/>
      <c r="I30" s="710"/>
      <c r="J30" s="710"/>
      <c r="K30" s="710"/>
      <c r="L30" s="710"/>
      <c r="M30" s="710"/>
      <c r="N30" s="710"/>
    </row>
    <row r="31" spans="2:14" ht="14.45" customHeight="1" x14ac:dyDescent="0.2">
      <c r="B31" s="866" t="s">
        <v>580</v>
      </c>
      <c r="C31" s="724" t="s">
        <v>167</v>
      </c>
      <c r="D31" s="706">
        <f>D25+D29</f>
        <v>0</v>
      </c>
      <c r="E31" s="706">
        <f t="shared" ref="E31:F31" si="2">E25+E29</f>
        <v>93253</v>
      </c>
      <c r="F31" s="706">
        <f t="shared" si="2"/>
        <v>93253</v>
      </c>
      <c r="G31" s="709"/>
      <c r="H31" s="710"/>
      <c r="I31" s="710"/>
      <c r="J31" s="710"/>
      <c r="K31" s="710"/>
      <c r="L31" s="710"/>
      <c r="M31" s="710"/>
      <c r="N31" s="710"/>
    </row>
    <row r="32" spans="2:14" ht="14.45" customHeight="1" x14ac:dyDescent="0.2">
      <c r="B32" s="866" t="s">
        <v>600</v>
      </c>
      <c r="C32" s="724"/>
      <c r="D32" s="706"/>
      <c r="E32" s="706"/>
      <c r="F32" s="706"/>
      <c r="G32" s="709"/>
      <c r="H32" s="710"/>
      <c r="I32" s="710"/>
      <c r="J32" s="710"/>
      <c r="K32" s="710"/>
      <c r="L32" s="710"/>
      <c r="M32" s="710"/>
      <c r="N32" s="710"/>
    </row>
    <row r="33" spans="2:14" s="12" customFormat="1" ht="14.45" customHeight="1" x14ac:dyDescent="0.2">
      <c r="B33" s="866" t="s">
        <v>601</v>
      </c>
      <c r="C33" s="873" t="s">
        <v>110</v>
      </c>
      <c r="D33" s="721"/>
      <c r="E33" s="721"/>
      <c r="F33" s="721"/>
      <c r="G33" s="721"/>
      <c r="H33" s="751"/>
      <c r="I33" s="751"/>
      <c r="J33" s="751"/>
      <c r="K33" s="751"/>
      <c r="L33" s="751"/>
      <c r="M33" s="751"/>
      <c r="N33" s="751"/>
    </row>
    <row r="34" spans="2:14" s="12" customFormat="1" ht="14.45" customHeight="1" thickBot="1" x14ac:dyDescent="0.25">
      <c r="B34" s="874" t="s">
        <v>602</v>
      </c>
      <c r="C34" s="853" t="s">
        <v>111</v>
      </c>
      <c r="D34" s="875"/>
      <c r="E34" s="831">
        <v>2870</v>
      </c>
      <c r="F34" s="831">
        <f>SUM(E34)</f>
        <v>2870</v>
      </c>
      <c r="G34" s="875"/>
      <c r="H34" s="876"/>
      <c r="I34" s="876"/>
      <c r="J34" s="876"/>
      <c r="K34" s="876"/>
      <c r="L34" s="876"/>
      <c r="M34" s="876"/>
      <c r="N34" s="876"/>
    </row>
    <row r="35" spans="2:14" s="12" customFormat="1" ht="14.45" customHeight="1" thickBot="1" x14ac:dyDescent="0.25">
      <c r="B35" s="892" t="s">
        <v>603</v>
      </c>
      <c r="C35" s="890" t="s">
        <v>112</v>
      </c>
      <c r="D35" s="697">
        <f>SUM(D34:D34)</f>
        <v>0</v>
      </c>
      <c r="E35" s="697">
        <f>SUM(E34:E34)</f>
        <v>2870</v>
      </c>
      <c r="F35" s="697">
        <f>SUM(F34:F34)</f>
        <v>2870</v>
      </c>
      <c r="G35" s="891"/>
      <c r="H35" s="884"/>
      <c r="I35" s="884"/>
      <c r="J35" s="884"/>
      <c r="K35" s="884"/>
      <c r="L35" s="884"/>
      <c r="M35" s="884"/>
      <c r="N35" s="885"/>
    </row>
    <row r="36" spans="2:14" s="12" customFormat="1" ht="15.75" customHeight="1" thickBot="1" x14ac:dyDescent="0.25">
      <c r="B36" s="893" t="s">
        <v>604</v>
      </c>
      <c r="C36" s="894"/>
      <c r="D36" s="895"/>
      <c r="E36" s="895"/>
      <c r="F36" s="895"/>
      <c r="G36" s="895"/>
      <c r="H36" s="896"/>
      <c r="I36" s="896"/>
      <c r="J36" s="896"/>
      <c r="K36" s="896"/>
      <c r="L36" s="896"/>
      <c r="M36" s="896"/>
      <c r="N36" s="896"/>
    </row>
    <row r="37" spans="2:14" s="12" customFormat="1" ht="14.45" customHeight="1" thickBot="1" x14ac:dyDescent="0.25">
      <c r="B37" s="881" t="s">
        <v>605</v>
      </c>
      <c r="C37" s="882" t="s">
        <v>113</v>
      </c>
      <c r="D37" s="697">
        <f>D17+D25+D29+D35</f>
        <v>0</v>
      </c>
      <c r="E37" s="697">
        <f t="shared" ref="E37:F37" si="3">E17+E25+E29+E35</f>
        <v>102863</v>
      </c>
      <c r="F37" s="697">
        <f t="shared" si="3"/>
        <v>102863</v>
      </c>
      <c r="G37" s="697" t="e">
        <f>G35+G31+G17+G21+#REF!</f>
        <v>#REF!</v>
      </c>
      <c r="H37" s="697" t="e">
        <f>H35+H31+H17+H21+#REF!</f>
        <v>#REF!</v>
      </c>
      <c r="I37" s="697" t="e">
        <f>I35+I31+I17+I21+#REF!</f>
        <v>#REF!</v>
      </c>
      <c r="J37" s="884"/>
      <c r="K37" s="884"/>
      <c r="L37" s="884"/>
      <c r="M37" s="884"/>
      <c r="N37" s="885"/>
    </row>
    <row r="38" spans="2:14" ht="14.45" customHeight="1" x14ac:dyDescent="0.2">
      <c r="B38" s="877" t="s">
        <v>606</v>
      </c>
      <c r="C38" s="878"/>
      <c r="D38" s="859"/>
      <c r="E38" s="859"/>
      <c r="F38" s="859"/>
      <c r="G38" s="845"/>
      <c r="H38" s="845"/>
      <c r="I38" s="845"/>
      <c r="J38" s="889"/>
      <c r="K38" s="889"/>
      <c r="L38" s="889"/>
      <c r="M38" s="889"/>
      <c r="N38" s="889"/>
    </row>
    <row r="39" spans="2:14" ht="14.45" customHeight="1" thickBot="1" x14ac:dyDescent="0.25">
      <c r="B39" s="874" t="s">
        <v>607</v>
      </c>
      <c r="C39" s="853"/>
      <c r="D39" s="735"/>
      <c r="E39" s="735"/>
      <c r="F39" s="735"/>
      <c r="G39" s="831"/>
      <c r="H39" s="831"/>
      <c r="I39" s="831"/>
      <c r="J39" s="736"/>
      <c r="K39" s="736"/>
      <c r="L39" s="736"/>
      <c r="M39" s="736"/>
      <c r="N39" s="736"/>
    </row>
    <row r="40" spans="2:14" ht="14.45" customHeight="1" thickBot="1" x14ac:dyDescent="0.25">
      <c r="B40" s="881" t="s">
        <v>608</v>
      </c>
      <c r="C40" s="882" t="s">
        <v>1072</v>
      </c>
      <c r="D40" s="697">
        <f>D37+D38</f>
        <v>0</v>
      </c>
      <c r="E40" s="697">
        <f>E37+E38</f>
        <v>102863</v>
      </c>
      <c r="F40" s="697">
        <f>F37+F38</f>
        <v>102863</v>
      </c>
      <c r="G40" s="897"/>
      <c r="H40" s="897"/>
      <c r="I40" s="897"/>
      <c r="J40" s="864"/>
      <c r="K40" s="864"/>
      <c r="L40" s="864"/>
      <c r="M40" s="864"/>
      <c r="N40" s="742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8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2018-06-21T07:09:37Z</cp:lastPrinted>
  <dcterms:created xsi:type="dcterms:W3CDTF">2013-12-16T15:47:29Z</dcterms:created>
  <dcterms:modified xsi:type="dcterms:W3CDTF">2018-06-21T07:13:20Z</dcterms:modified>
</cp:coreProperties>
</file>